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Summary" sheetId="8" r:id="rId1"/>
    <sheet name="BASE YEAR" sheetId="9" r:id="rId2"/>
    <sheet name="1-1986" sheetId="4" r:id="rId3"/>
    <sheet name="JVPA" sheetId="1" r:id="rId4"/>
    <sheet name="MCPA" sheetId="5" r:id="rId5"/>
    <sheet name="DCPA" sheetId="6" r:id="rId6"/>
    <sheet name="I-215" sheetId="7" r:id="rId7"/>
    <sheet name="Sheet2" sheetId="2" r:id="rId8"/>
    <sheet name="Sheet3" sheetId="3" r:id="rId9"/>
  </sheets>
  <definedNames>
    <definedName name="_xlnm.Print_Area" localSheetId="2">'1-1986'!$A$1:$X$26</definedName>
    <definedName name="_xlnm.Print_Area" localSheetId="5">DCPA!$A$1:$X$42</definedName>
    <definedName name="_xlnm.Print_Area" localSheetId="6">'I-215'!$A$1:$X$65</definedName>
    <definedName name="_xlnm.Print_Area" localSheetId="3">JVPA!$A$1:$X$45</definedName>
    <definedName name="_xlnm.Print_Area" localSheetId="4">MCPA!$A$1:$X$40</definedName>
  </definedNames>
  <calcPr calcId="125725"/>
</workbook>
</file>

<file path=xl/calcChain.xml><?xml version="1.0" encoding="utf-8"?>
<calcChain xmlns="http://schemas.openxmlformats.org/spreadsheetml/2006/main">
  <c r="Y9" i="8"/>
  <c r="X12"/>
  <c r="AD8"/>
  <c r="AE8" s="1"/>
  <c r="AF8" s="1"/>
  <c r="AG8" s="1"/>
  <c r="AH8" s="1"/>
  <c r="AE7"/>
  <c r="AF7" s="1"/>
  <c r="AG7" s="1"/>
  <c r="AH7" s="1"/>
  <c r="AD7"/>
  <c r="AD6"/>
  <c r="AE6" s="1"/>
  <c r="AF6" s="1"/>
  <c r="AG6" s="1"/>
  <c r="AH6" s="1"/>
  <c r="AE5"/>
  <c r="AF5" s="1"/>
  <c r="AG5" s="1"/>
  <c r="AH5" s="1"/>
  <c r="AD5"/>
  <c r="AD4"/>
  <c r="AE4" s="1"/>
  <c r="AF4" s="1"/>
  <c r="AG4" s="1"/>
  <c r="AH4" s="1"/>
  <c r="AC8"/>
  <c r="AC7"/>
  <c r="AC6"/>
  <c r="AC5"/>
  <c r="AC4"/>
  <c r="AB8"/>
  <c r="AB7"/>
  <c r="AB6"/>
  <c r="AB5"/>
  <c r="AB4"/>
  <c r="AA8"/>
  <c r="AA7"/>
  <c r="AA6"/>
  <c r="AA5"/>
  <c r="AA4"/>
  <c r="Z8"/>
  <c r="Z7"/>
  <c r="Z6"/>
  <c r="Z5"/>
  <c r="Z4"/>
  <c r="Y8"/>
  <c r="Y7"/>
  <c r="Y6"/>
  <c r="Y5"/>
  <c r="Y4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X8" i="9"/>
  <c r="W8"/>
  <c r="V8"/>
  <c r="T8"/>
  <c r="S8"/>
  <c r="R8"/>
  <c r="P8"/>
  <c r="O8"/>
  <c r="M8"/>
  <c r="L8"/>
  <c r="K8"/>
  <c r="J8"/>
  <c r="I8"/>
  <c r="H8"/>
  <c r="G8"/>
  <c r="F8"/>
  <c r="D8"/>
  <c r="X65" i="7"/>
  <c r="W65"/>
  <c r="V65"/>
  <c r="U65"/>
  <c r="U86" s="1"/>
  <c r="U8" i="9" s="1"/>
  <c r="X69" i="7"/>
  <c r="W69"/>
  <c r="V69"/>
  <c r="X57"/>
  <c r="X61" s="1"/>
  <c r="W57"/>
  <c r="W61" s="1"/>
  <c r="V57"/>
  <c r="V61" s="1"/>
  <c r="U57"/>
  <c r="U61" s="1"/>
  <c r="T57"/>
  <c r="T61" s="1"/>
  <c r="S57"/>
  <c r="S61" s="1"/>
  <c r="R57"/>
  <c r="R61" s="1"/>
  <c r="Q57"/>
  <c r="Q86" s="1"/>
  <c r="Q8" i="9" s="1"/>
  <c r="X49" i="7"/>
  <c r="X53" s="1"/>
  <c r="W49"/>
  <c r="W53" s="1"/>
  <c r="V49"/>
  <c r="V53" s="1"/>
  <c r="U49"/>
  <c r="U53" s="1"/>
  <c r="T49"/>
  <c r="T53" s="1"/>
  <c r="S49"/>
  <c r="S53" s="1"/>
  <c r="R49"/>
  <c r="R53" s="1"/>
  <c r="Q49"/>
  <c r="Q53" s="1"/>
  <c r="P49"/>
  <c r="P53" s="1"/>
  <c r="O49"/>
  <c r="O53" s="1"/>
  <c r="N49"/>
  <c r="N53" s="1"/>
  <c r="M49"/>
  <c r="M53" s="1"/>
  <c r="L49"/>
  <c r="L53" s="1"/>
  <c r="K49"/>
  <c r="K53" s="1"/>
  <c r="J49"/>
  <c r="J53" s="1"/>
  <c r="I49"/>
  <c r="I53" s="1"/>
  <c r="H49"/>
  <c r="H53" s="1"/>
  <c r="G49"/>
  <c r="G53" s="1"/>
  <c r="F49"/>
  <c r="F53" s="1"/>
  <c r="E49"/>
  <c r="E86" s="1"/>
  <c r="E8" i="9" s="1"/>
  <c r="X42" i="7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C86" s="1"/>
  <c r="C8" i="9" s="1"/>
  <c r="C46" i="7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Q38"/>
  <c r="X34"/>
  <c r="X38" s="1"/>
  <c r="W34"/>
  <c r="W38" s="1"/>
  <c r="V34"/>
  <c r="V38" s="1"/>
  <c r="U34"/>
  <c r="U38" s="1"/>
  <c r="T34"/>
  <c r="T38" s="1"/>
  <c r="S34"/>
  <c r="S38" s="1"/>
  <c r="R34"/>
  <c r="R38" s="1"/>
  <c r="Q34"/>
  <c r="N31"/>
  <c r="X27"/>
  <c r="X31" s="1"/>
  <c r="W27"/>
  <c r="W31" s="1"/>
  <c r="V27"/>
  <c r="V31" s="1"/>
  <c r="U27"/>
  <c r="U31" s="1"/>
  <c r="T27"/>
  <c r="T31" s="1"/>
  <c r="S27"/>
  <c r="S31" s="1"/>
  <c r="R27"/>
  <c r="R31" s="1"/>
  <c r="Q27"/>
  <c r="Q31" s="1"/>
  <c r="P27"/>
  <c r="P31" s="1"/>
  <c r="O27"/>
  <c r="O31" s="1"/>
  <c r="N27"/>
  <c r="N86" s="1"/>
  <c r="N8" i="9" s="1"/>
  <c r="X18" i="7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22"/>
  <c r="B72" s="1"/>
  <c r="B18"/>
  <c r="B86" s="1"/>
  <c r="B8" i="9" s="1"/>
  <c r="X9" i="7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13"/>
  <c r="B9"/>
  <c r="X13"/>
  <c r="X22" s="1"/>
  <c r="W13"/>
  <c r="W22" s="1"/>
  <c r="V13"/>
  <c r="V22" s="1"/>
  <c r="U13"/>
  <c r="U22" s="1"/>
  <c r="T13"/>
  <c r="T22" s="1"/>
  <c r="S13"/>
  <c r="S22" s="1"/>
  <c r="R13"/>
  <c r="R22" s="1"/>
  <c r="Q13"/>
  <c r="Q22" s="1"/>
  <c r="P13"/>
  <c r="P22" s="1"/>
  <c r="O13"/>
  <c r="O22" s="1"/>
  <c r="N13"/>
  <c r="N22" s="1"/>
  <c r="M13"/>
  <c r="M22" s="1"/>
  <c r="L13"/>
  <c r="L22" s="1"/>
  <c r="K13"/>
  <c r="K22" s="1"/>
  <c r="J13"/>
  <c r="J22" s="1"/>
  <c r="I13"/>
  <c r="I22" s="1"/>
  <c r="H13"/>
  <c r="H22" s="1"/>
  <c r="G13"/>
  <c r="G22" s="1"/>
  <c r="F13"/>
  <c r="F22" s="1"/>
  <c r="E13"/>
  <c r="E22" s="1"/>
  <c r="D13"/>
  <c r="D22" s="1"/>
  <c r="C13"/>
  <c r="C22" s="1"/>
  <c r="X7" i="8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O25" i="6"/>
  <c r="N25"/>
  <c r="M25"/>
  <c r="L25"/>
  <c r="K25"/>
  <c r="J25"/>
  <c r="I25"/>
  <c r="H25"/>
  <c r="X7" i="9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N55" i="6"/>
  <c r="D55"/>
  <c r="C55"/>
  <c r="B55"/>
  <c r="X41"/>
  <c r="W41"/>
  <c r="V41"/>
  <c r="U41"/>
  <c r="T41"/>
  <c r="S41"/>
  <c r="R41"/>
  <c r="Q41"/>
  <c r="P41"/>
  <c r="E41"/>
  <c r="D41"/>
  <c r="C41"/>
  <c r="B41"/>
  <c r="X33"/>
  <c r="X37" s="1"/>
  <c r="W33"/>
  <c r="W37" s="1"/>
  <c r="V33"/>
  <c r="V37" s="1"/>
  <c r="U33"/>
  <c r="U37" s="1"/>
  <c r="T33"/>
  <c r="T37" s="1"/>
  <c r="S33"/>
  <c r="S37" s="1"/>
  <c r="R33"/>
  <c r="R37" s="1"/>
  <c r="Q33"/>
  <c r="Q37" s="1"/>
  <c r="P33"/>
  <c r="P37" s="1"/>
  <c r="O33"/>
  <c r="O37" s="1"/>
  <c r="N33"/>
  <c r="O26"/>
  <c r="N26"/>
  <c r="M26"/>
  <c r="M30" s="1"/>
  <c r="M41" s="1"/>
  <c r="L26"/>
  <c r="K26"/>
  <c r="K30" s="1"/>
  <c r="K41" s="1"/>
  <c r="J26"/>
  <c r="I26"/>
  <c r="H26"/>
  <c r="G26"/>
  <c r="G30" s="1"/>
  <c r="G41" s="1"/>
  <c r="F26"/>
  <c r="F30" s="1"/>
  <c r="F41" s="1"/>
  <c r="E26"/>
  <c r="O30"/>
  <c r="O41" s="1"/>
  <c r="N30"/>
  <c r="N41" s="1"/>
  <c r="L30"/>
  <c r="L41" s="1"/>
  <c r="J30"/>
  <c r="J41" s="1"/>
  <c r="I30"/>
  <c r="I41" s="1"/>
  <c r="H30"/>
  <c r="H41" s="1"/>
  <c r="E30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B12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X6" i="8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X6" i="9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N60" i="5"/>
  <c r="E60"/>
  <c r="C60"/>
  <c r="B60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X39"/>
  <c r="W39"/>
  <c r="V39"/>
  <c r="U39"/>
  <c r="T39"/>
  <c r="S39"/>
  <c r="R39"/>
  <c r="Q39"/>
  <c r="P39"/>
  <c r="O39"/>
  <c r="N39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X43"/>
  <c r="W43"/>
  <c r="V43"/>
  <c r="U43"/>
  <c r="T43"/>
  <c r="S43"/>
  <c r="R43"/>
  <c r="Q43"/>
  <c r="P43"/>
  <c r="O43"/>
  <c r="X5" i="9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B5"/>
  <c r="X4"/>
  <c r="X9" s="1"/>
  <c r="W4"/>
  <c r="W9" s="1"/>
  <c r="W12" i="8" s="1"/>
  <c r="V4" i="9"/>
  <c r="V9" s="1"/>
  <c r="V12" i="8" s="1"/>
  <c r="U4" i="9"/>
  <c r="T4"/>
  <c r="T9" s="1"/>
  <c r="T12" i="8" s="1"/>
  <c r="S4" i="9"/>
  <c r="S9" s="1"/>
  <c r="S12" i="8" s="1"/>
  <c r="R4" i="9"/>
  <c r="R9" s="1"/>
  <c r="R12" i="8" s="1"/>
  <c r="Q4" i="9"/>
  <c r="P4"/>
  <c r="P9" s="1"/>
  <c r="P12" i="8" s="1"/>
  <c r="O4" i="9"/>
  <c r="O9" s="1"/>
  <c r="O12" i="8" s="1"/>
  <c r="N4" i="9"/>
  <c r="M4"/>
  <c r="M9" s="1"/>
  <c r="M12" i="8" s="1"/>
  <c r="L4" i="9"/>
  <c r="L9" s="1"/>
  <c r="L12" i="8" s="1"/>
  <c r="K4" i="9"/>
  <c r="K9" s="1"/>
  <c r="K12" i="8" s="1"/>
  <c r="J4" i="9"/>
  <c r="J9" s="1"/>
  <c r="J12" i="8" s="1"/>
  <c r="I4" i="9"/>
  <c r="I9" s="1"/>
  <c r="I12" i="8" s="1"/>
  <c r="H4" i="9"/>
  <c r="H9" s="1"/>
  <c r="H12" i="8" s="1"/>
  <c r="G4" i="9"/>
  <c r="G9" s="1"/>
  <c r="G12" i="8" s="1"/>
  <c r="F4" i="9"/>
  <c r="F9" s="1"/>
  <c r="F12" i="8" s="1"/>
  <c r="E4" i="9"/>
  <c r="D4"/>
  <c r="D9" s="1"/>
  <c r="D12" i="8" s="1"/>
  <c r="C4" i="9"/>
  <c r="B4"/>
  <c r="L67" i="1"/>
  <c r="E67"/>
  <c r="D67"/>
  <c r="C67"/>
  <c r="B67"/>
  <c r="N31" i="4"/>
  <c r="B31"/>
  <c r="B52" i="1"/>
  <c r="B5" i="8" s="1"/>
  <c r="X45" i="1"/>
  <c r="X49" s="1"/>
  <c r="W45"/>
  <c r="W49" s="1"/>
  <c r="V45"/>
  <c r="V49" s="1"/>
  <c r="U45"/>
  <c r="U49" s="1"/>
  <c r="T45"/>
  <c r="T49" s="1"/>
  <c r="S45"/>
  <c r="S49" s="1"/>
  <c r="R45"/>
  <c r="R49" s="1"/>
  <c r="Q45"/>
  <c r="Q49" s="1"/>
  <c r="P45"/>
  <c r="P49" s="1"/>
  <c r="L45"/>
  <c r="X38"/>
  <c r="X42" s="1"/>
  <c r="W38"/>
  <c r="W42" s="1"/>
  <c r="V38"/>
  <c r="V42" s="1"/>
  <c r="U38"/>
  <c r="U42" s="1"/>
  <c r="T38"/>
  <c r="T42" s="1"/>
  <c r="S38"/>
  <c r="S42" s="1"/>
  <c r="R38"/>
  <c r="R42" s="1"/>
  <c r="Q38"/>
  <c r="Q42" s="1"/>
  <c r="P38"/>
  <c r="P42" s="1"/>
  <c r="O38"/>
  <c r="O42" s="1"/>
  <c r="N38"/>
  <c r="N42" s="1"/>
  <c r="M38"/>
  <c r="M42" s="1"/>
  <c r="L38"/>
  <c r="L42" s="1"/>
  <c r="K38"/>
  <c r="K42" s="1"/>
  <c r="J38"/>
  <c r="J42" s="1"/>
  <c r="I38"/>
  <c r="I42" s="1"/>
  <c r="E38"/>
  <c r="X29"/>
  <c r="X33" s="1"/>
  <c r="W29"/>
  <c r="W33" s="1"/>
  <c r="V29"/>
  <c r="V33" s="1"/>
  <c r="U29"/>
  <c r="U33" s="1"/>
  <c r="T29"/>
  <c r="T33" s="1"/>
  <c r="S29"/>
  <c r="S33" s="1"/>
  <c r="R29"/>
  <c r="R33" s="1"/>
  <c r="Q29"/>
  <c r="Q33" s="1"/>
  <c r="P29"/>
  <c r="P33" s="1"/>
  <c r="O29"/>
  <c r="O33" s="1"/>
  <c r="N29"/>
  <c r="N33" s="1"/>
  <c r="M29"/>
  <c r="M33" s="1"/>
  <c r="L29"/>
  <c r="L33" s="1"/>
  <c r="K29"/>
  <c r="K33" s="1"/>
  <c r="J29"/>
  <c r="J33" s="1"/>
  <c r="I29"/>
  <c r="I33" s="1"/>
  <c r="H29"/>
  <c r="H33" s="1"/>
  <c r="G29"/>
  <c r="G33" s="1"/>
  <c r="F29"/>
  <c r="F33" s="1"/>
  <c r="E29"/>
  <c r="X22"/>
  <c r="X26" s="1"/>
  <c r="W22"/>
  <c r="W26" s="1"/>
  <c r="V22"/>
  <c r="V26" s="1"/>
  <c r="U22"/>
  <c r="U26" s="1"/>
  <c r="T22"/>
  <c r="T26" s="1"/>
  <c r="S22"/>
  <c r="S26" s="1"/>
  <c r="R22"/>
  <c r="R26" s="1"/>
  <c r="Q22"/>
  <c r="Q26" s="1"/>
  <c r="P22"/>
  <c r="P26" s="1"/>
  <c r="O22"/>
  <c r="O26" s="1"/>
  <c r="N22"/>
  <c r="N26" s="1"/>
  <c r="M22"/>
  <c r="M26" s="1"/>
  <c r="L22"/>
  <c r="L26" s="1"/>
  <c r="K22"/>
  <c r="K26" s="1"/>
  <c r="J22"/>
  <c r="J26" s="1"/>
  <c r="I22"/>
  <c r="I26" s="1"/>
  <c r="H22"/>
  <c r="H26" s="1"/>
  <c r="G22"/>
  <c r="G26" s="1"/>
  <c r="F22"/>
  <c r="F26" s="1"/>
  <c r="E22"/>
  <c r="E26" s="1"/>
  <c r="D22"/>
  <c r="X15"/>
  <c r="X19" s="1"/>
  <c r="W15"/>
  <c r="W19" s="1"/>
  <c r="V15"/>
  <c r="V19" s="1"/>
  <c r="U15"/>
  <c r="U19" s="1"/>
  <c r="T15"/>
  <c r="T19" s="1"/>
  <c r="S15"/>
  <c r="S19" s="1"/>
  <c r="R15"/>
  <c r="R19" s="1"/>
  <c r="Q15"/>
  <c r="Q19" s="1"/>
  <c r="P15"/>
  <c r="P19" s="1"/>
  <c r="N15"/>
  <c r="N19" s="1"/>
  <c r="M15"/>
  <c r="M19" s="1"/>
  <c r="L15"/>
  <c r="L19" s="1"/>
  <c r="K15"/>
  <c r="K19" s="1"/>
  <c r="J15"/>
  <c r="J19" s="1"/>
  <c r="I15"/>
  <c r="I19" s="1"/>
  <c r="H15"/>
  <c r="H19" s="1"/>
  <c r="G15"/>
  <c r="G19" s="1"/>
  <c r="F15"/>
  <c r="F19" s="1"/>
  <c r="E15"/>
  <c r="E19" s="1"/>
  <c r="C15"/>
  <c r="X6"/>
  <c r="X10" s="1"/>
  <c r="X52" s="1"/>
  <c r="X5" i="8" s="1"/>
  <c r="W6" i="1"/>
  <c r="W10" s="1"/>
  <c r="W52" s="1"/>
  <c r="W5" i="8" s="1"/>
  <c r="V6" i="1"/>
  <c r="V10" s="1"/>
  <c r="V52" s="1"/>
  <c r="V5" i="8" s="1"/>
  <c r="U6" i="1"/>
  <c r="U10" s="1"/>
  <c r="U52" s="1"/>
  <c r="U5" i="8" s="1"/>
  <c r="T6" i="1"/>
  <c r="T10" s="1"/>
  <c r="T52" s="1"/>
  <c r="T5" i="8" s="1"/>
  <c r="S6" i="1"/>
  <c r="S10" s="1"/>
  <c r="S52" s="1"/>
  <c r="S5" i="8" s="1"/>
  <c r="R6" i="1"/>
  <c r="R10" s="1"/>
  <c r="R52" s="1"/>
  <c r="R5" i="8" s="1"/>
  <c r="Q6" i="1"/>
  <c r="Q10" s="1"/>
  <c r="Q52" s="1"/>
  <c r="Q5" i="8" s="1"/>
  <c r="P6" i="1"/>
  <c r="P10" s="1"/>
  <c r="P52" s="1"/>
  <c r="P5" i="8" s="1"/>
  <c r="O6" i="1"/>
  <c r="O10" s="1"/>
  <c r="N6"/>
  <c r="N10" s="1"/>
  <c r="M6"/>
  <c r="M10" s="1"/>
  <c r="L6"/>
  <c r="L10" s="1"/>
  <c r="L52" s="1"/>
  <c r="L5" i="8" s="1"/>
  <c r="K6" i="1"/>
  <c r="K10" s="1"/>
  <c r="K52" s="1"/>
  <c r="K5" i="8" s="1"/>
  <c r="J6" i="1"/>
  <c r="J10" s="1"/>
  <c r="J52" s="1"/>
  <c r="J5" i="8" s="1"/>
  <c r="I6" i="1"/>
  <c r="I10" s="1"/>
  <c r="I52" s="1"/>
  <c r="I5" i="8" s="1"/>
  <c r="H6" i="1"/>
  <c r="H10" s="1"/>
  <c r="G6"/>
  <c r="G10" s="1"/>
  <c r="F6"/>
  <c r="F10" s="1"/>
  <c r="E6"/>
  <c r="E10" s="1"/>
  <c r="E52" s="1"/>
  <c r="E5" i="8" s="1"/>
  <c r="B6" i="1"/>
  <c r="X4" i="8"/>
  <c r="W4"/>
  <c r="V4"/>
  <c r="U4"/>
  <c r="T4"/>
  <c r="S4"/>
  <c r="R4"/>
  <c r="Q4"/>
  <c r="P4"/>
  <c r="K4"/>
  <c r="J4"/>
  <c r="I4"/>
  <c r="H4"/>
  <c r="G4"/>
  <c r="F4"/>
  <c r="E4"/>
  <c r="D4"/>
  <c r="C4"/>
  <c r="B4"/>
  <c r="X22" i="4"/>
  <c r="W22"/>
  <c r="V22"/>
  <c r="U22"/>
  <c r="T22"/>
  <c r="S22"/>
  <c r="R22"/>
  <c r="Q22"/>
  <c r="P22"/>
  <c r="K22"/>
  <c r="J22"/>
  <c r="I22"/>
  <c r="H22"/>
  <c r="G22"/>
  <c r="F22"/>
  <c r="E22"/>
  <c r="D22"/>
  <c r="C22"/>
  <c r="B22"/>
  <c r="X20"/>
  <c r="W20"/>
  <c r="V20"/>
  <c r="U20"/>
  <c r="T20"/>
  <c r="S20"/>
  <c r="R20"/>
  <c r="Q20"/>
  <c r="P20"/>
  <c r="R14"/>
  <c r="Q14"/>
  <c r="P14"/>
  <c r="X16"/>
  <c r="W16"/>
  <c r="V16"/>
  <c r="U16"/>
  <c r="T16"/>
  <c r="S16"/>
  <c r="O16"/>
  <c r="O20" s="1"/>
  <c r="N16"/>
  <c r="M16"/>
  <c r="L16"/>
  <c r="K16"/>
  <c r="J16"/>
  <c r="I16"/>
  <c r="H16"/>
  <c r="G16"/>
  <c r="F16"/>
  <c r="E16"/>
  <c r="D16"/>
  <c r="C16"/>
  <c r="B16"/>
  <c r="X11"/>
  <c r="W11"/>
  <c r="V11"/>
  <c r="U11"/>
  <c r="T11"/>
  <c r="S11"/>
  <c r="R11"/>
  <c r="Q11"/>
  <c r="P11"/>
  <c r="K11"/>
  <c r="J11"/>
  <c r="I11"/>
  <c r="H11"/>
  <c r="G11"/>
  <c r="F11"/>
  <c r="E11"/>
  <c r="D11"/>
  <c r="C11"/>
  <c r="X7"/>
  <c r="W7"/>
  <c r="V7"/>
  <c r="U7"/>
  <c r="T7"/>
  <c r="S7"/>
  <c r="R7"/>
  <c r="Q7"/>
  <c r="P7"/>
  <c r="O7"/>
  <c r="O11" s="1"/>
  <c r="N7"/>
  <c r="N11" s="1"/>
  <c r="N22" s="1"/>
  <c r="N4" i="8" s="1"/>
  <c r="M7" i="4"/>
  <c r="M11" s="1"/>
  <c r="M22" s="1"/>
  <c r="M4" i="8" s="1"/>
  <c r="L7" i="4"/>
  <c r="L11" s="1"/>
  <c r="L22" s="1"/>
  <c r="L4" i="8" s="1"/>
  <c r="K7" i="4"/>
  <c r="J7"/>
  <c r="I7"/>
  <c r="H7"/>
  <c r="G7"/>
  <c r="F7"/>
  <c r="E7"/>
  <c r="D7"/>
  <c r="C7"/>
  <c r="B7"/>
  <c r="P16"/>
  <c r="D25" i="6"/>
  <c r="D26" s="1"/>
  <c r="C4"/>
  <c r="C12" s="1"/>
  <c r="C16" s="1"/>
  <c r="X25"/>
  <c r="X26" s="1"/>
  <c r="X30" s="1"/>
  <c r="W25"/>
  <c r="W26" s="1"/>
  <c r="W30" s="1"/>
  <c r="V25"/>
  <c r="V26" s="1"/>
  <c r="V30" s="1"/>
  <c r="U25"/>
  <c r="U26" s="1"/>
  <c r="U30" s="1"/>
  <c r="T25"/>
  <c r="T26" s="1"/>
  <c r="T30" s="1"/>
  <c r="S25"/>
  <c r="S26" s="1"/>
  <c r="S30" s="1"/>
  <c r="R25"/>
  <c r="R26" s="1"/>
  <c r="R30" s="1"/>
  <c r="Q25"/>
  <c r="Q26" s="1"/>
  <c r="Q30" s="1"/>
  <c r="P25"/>
  <c r="P26" s="1"/>
  <c r="P30" s="1"/>
  <c r="O44" i="1"/>
  <c r="O45" s="1"/>
  <c r="O49" s="1"/>
  <c r="O14"/>
  <c r="O13"/>
  <c r="O15" s="1"/>
  <c r="O19" s="1"/>
  <c r="N44"/>
  <c r="N45" s="1"/>
  <c r="N49" s="1"/>
  <c r="M44"/>
  <c r="M45" s="1"/>
  <c r="M49" s="1"/>
  <c r="H35"/>
  <c r="H38" s="1"/>
  <c r="H42" s="1"/>
  <c r="G35"/>
  <c r="G38" s="1"/>
  <c r="G42" s="1"/>
  <c r="F35"/>
  <c r="F38" s="1"/>
  <c r="F42" s="1"/>
  <c r="D12"/>
  <c r="D15" s="1"/>
  <c r="D19" s="1"/>
  <c r="D4"/>
  <c r="D6" s="1"/>
  <c r="D10" s="1"/>
  <c r="C4"/>
  <c r="C6" s="1"/>
  <c r="C10" s="1"/>
  <c r="C52" s="1"/>
  <c r="C5" i="8" s="1"/>
  <c r="O30" i="5"/>
  <c r="O23"/>
  <c r="O16"/>
  <c r="O8"/>
  <c r="O7"/>
  <c r="O6"/>
  <c r="O5"/>
  <c r="N30"/>
  <c r="N23"/>
  <c r="N16"/>
  <c r="N8"/>
  <c r="N7"/>
  <c r="N6"/>
  <c r="N5"/>
  <c r="M30"/>
  <c r="M23"/>
  <c r="M16"/>
  <c r="M8"/>
  <c r="M7"/>
  <c r="M6"/>
  <c r="M5"/>
  <c r="L23"/>
  <c r="K30"/>
  <c r="K23"/>
  <c r="J30"/>
  <c r="J23"/>
  <c r="I30"/>
  <c r="I23"/>
  <c r="H30"/>
  <c r="H23"/>
  <c r="G30"/>
  <c r="G23"/>
  <c r="F30"/>
  <c r="D4"/>
  <c r="C4"/>
  <c r="K6" i="4"/>
  <c r="K5"/>
  <c r="J6"/>
  <c r="J5"/>
  <c r="I6"/>
  <c r="H5"/>
  <c r="H6"/>
  <c r="G4"/>
  <c r="F4"/>
  <c r="E4"/>
  <c r="D4"/>
  <c r="C9" i="9" l="1"/>
  <c r="C12" i="8" s="1"/>
  <c r="E9" i="9"/>
  <c r="E12" i="8" s="1"/>
  <c r="Q9" i="9"/>
  <c r="Q12" i="8" s="1"/>
  <c r="B9" i="9"/>
  <c r="B12" i="8" s="1"/>
  <c r="B10" s="1"/>
  <c r="N9" i="9"/>
  <c r="N12" i="8" s="1"/>
  <c r="U9" i="9"/>
  <c r="U12" i="8" s="1"/>
  <c r="C72" i="7"/>
  <c r="E72"/>
  <c r="G72"/>
  <c r="I72"/>
  <c r="K72"/>
  <c r="M72"/>
  <c r="O72"/>
  <c r="Q72"/>
  <c r="S72"/>
  <c r="U72"/>
  <c r="W72"/>
  <c r="D72"/>
  <c r="F72"/>
  <c r="H72"/>
  <c r="J72"/>
  <c r="L72"/>
  <c r="N72"/>
  <c r="P72"/>
  <c r="R72"/>
  <c r="T72"/>
  <c r="V72"/>
  <c r="X72"/>
  <c r="C10" i="8"/>
  <c r="R9"/>
  <c r="V9"/>
  <c r="P9"/>
  <c r="T9"/>
  <c r="X9"/>
  <c r="Q9"/>
  <c r="S9"/>
  <c r="U9"/>
  <c r="W9"/>
  <c r="B9"/>
  <c r="O22" i="4"/>
  <c r="O4" i="8" s="1"/>
  <c r="D52" i="1"/>
  <c r="D5" i="8" s="1"/>
  <c r="G52" i="1"/>
  <c r="G5" i="8" s="1"/>
  <c r="M52" i="1"/>
  <c r="M5" i="8" s="1"/>
  <c r="O52" i="1"/>
  <c r="O5" i="8" s="1"/>
  <c r="F52" i="1"/>
  <c r="F5" i="8" s="1"/>
  <c r="H52" i="1"/>
  <c r="H5" i="8" s="1"/>
  <c r="N52" i="1"/>
  <c r="N5" i="8" s="1"/>
  <c r="D10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V10" s="1"/>
  <c r="W10" s="1"/>
  <c r="X10" s="1"/>
  <c r="Y10" s="1"/>
  <c r="Z10" s="1"/>
  <c r="AA10" s="1"/>
  <c r="AB10" s="1"/>
  <c r="AC10" s="1"/>
  <c r="AD10" s="1"/>
  <c r="AE10" s="1"/>
  <c r="AF10" s="1"/>
  <c r="AG10" s="1"/>
  <c r="AH10" s="1"/>
  <c r="J9"/>
  <c r="I9"/>
  <c r="K9"/>
  <c r="G9"/>
  <c r="F9"/>
  <c r="H9"/>
  <c r="L9"/>
  <c r="M9"/>
  <c r="N9"/>
  <c r="O9"/>
  <c r="D9"/>
  <c r="C9"/>
  <c r="E9"/>
  <c r="R16" i="4" l="1"/>
  <c r="Q16"/>
</calcChain>
</file>

<file path=xl/sharedStrings.xml><?xml version="1.0" encoding="utf-8"?>
<sst xmlns="http://schemas.openxmlformats.org/spreadsheetml/2006/main" count="457" uniqueCount="121">
  <si>
    <t>Lakeland Village/Wildomar</t>
  </si>
  <si>
    <t>El Cerrito/Temescal</t>
  </si>
  <si>
    <t>86-87</t>
  </si>
  <si>
    <t>87-88</t>
  </si>
  <si>
    <t>88-89</t>
  </si>
  <si>
    <t>89-90</t>
  </si>
  <si>
    <t>90-91</t>
  </si>
  <si>
    <t>91-92</t>
  </si>
  <si>
    <t>92-93</t>
  </si>
  <si>
    <t>93-94</t>
  </si>
  <si>
    <t>94-95</t>
  </si>
  <si>
    <t>95-96</t>
  </si>
  <si>
    <t>96-97</t>
  </si>
  <si>
    <t>97-98</t>
  </si>
  <si>
    <t>98-99</t>
  </si>
  <si>
    <t>99-00</t>
  </si>
  <si>
    <t>00-01</t>
  </si>
  <si>
    <t>01-02</t>
  </si>
  <si>
    <t>02-03</t>
  </si>
  <si>
    <t>03-04</t>
  </si>
  <si>
    <t>04-05</t>
  </si>
  <si>
    <t>05-06</t>
  </si>
  <si>
    <t>06-07</t>
  </si>
  <si>
    <t>08-09</t>
  </si>
  <si>
    <t>07-08</t>
  </si>
  <si>
    <t>Mira Loma</t>
  </si>
  <si>
    <t>Mira Loma #1</t>
  </si>
  <si>
    <t>Mira Loma #2</t>
  </si>
  <si>
    <t>Glen Avon</t>
  </si>
  <si>
    <t>Pedley</t>
  </si>
  <si>
    <t>Rubidoux #1</t>
  </si>
  <si>
    <t>JVPA Amendment</t>
  </si>
  <si>
    <t>Rubidoux #2</t>
  </si>
  <si>
    <t>Figures obtained by dividing gross TI by 1%</t>
  </si>
  <si>
    <t>Garnet</t>
  </si>
  <si>
    <t>Valle Vista</t>
  </si>
  <si>
    <t>West Garnet</t>
  </si>
  <si>
    <t>Winchester</t>
  </si>
  <si>
    <t>Homeland</t>
  </si>
  <si>
    <t>Homeland/Green Acres</t>
  </si>
  <si>
    <t>North Hemet</t>
  </si>
  <si>
    <t>Cabazon</t>
  </si>
  <si>
    <t>Home Gardens 0101</t>
  </si>
  <si>
    <t>Murrieta 0102</t>
  </si>
  <si>
    <t>Ripley</t>
  </si>
  <si>
    <t>Thermal</t>
  </si>
  <si>
    <t>Mecca</t>
  </si>
  <si>
    <t>North Shore</t>
  </si>
  <si>
    <t>Thousand Palms</t>
  </si>
  <si>
    <t>East Blythe</t>
  </si>
  <si>
    <t>Desert Center</t>
  </si>
  <si>
    <t>Thousand Palms Amend.</t>
  </si>
  <si>
    <t>Airports</t>
  </si>
  <si>
    <t>Palm Desert CC</t>
  </si>
  <si>
    <t>Lakeview</t>
  </si>
  <si>
    <t>Mead Valley</t>
  </si>
  <si>
    <t>Romoland (3)</t>
  </si>
  <si>
    <t>Romoland (5)</t>
  </si>
  <si>
    <t>Highgrove</t>
  </si>
  <si>
    <t>Highgrove Amend.</t>
  </si>
  <si>
    <t>Romoland Amend. 2</t>
  </si>
  <si>
    <t>Mead Valley #2 (Amend 1)</t>
  </si>
  <si>
    <t xml:space="preserve">Mead Valley #2 </t>
  </si>
  <si>
    <t>Mead Valley #2 (Amend 2)</t>
  </si>
  <si>
    <t>Lakeview/Nuevo</t>
  </si>
  <si>
    <t>Sun City/Quail Valley</t>
  </si>
  <si>
    <t>1-1986</t>
  </si>
  <si>
    <t>JVPA</t>
  </si>
  <si>
    <t>MCPA</t>
  </si>
  <si>
    <t>DCPA</t>
  </si>
  <si>
    <t>I-215</t>
  </si>
  <si>
    <t>BASE YEAR AV</t>
  </si>
  <si>
    <t>'86</t>
  </si>
  <si>
    <t>'87</t>
  </si>
  <si>
    <t>'88</t>
  </si>
  <si>
    <t>'89</t>
  </si>
  <si>
    <t>'90</t>
  </si>
  <si>
    <t>'91</t>
  </si>
  <si>
    <t>'92</t>
  </si>
  <si>
    <t>'93</t>
  </si>
  <si>
    <t>'94</t>
  </si>
  <si>
    <t>'95</t>
  </si>
  <si>
    <t>'96</t>
  </si>
  <si>
    <t>'97</t>
  </si>
  <si>
    <t>'98</t>
  </si>
  <si>
    <t>'99</t>
  </si>
  <si>
    <t>'00</t>
  </si>
  <si>
    <t>'01</t>
  </si>
  <si>
    <t>'02</t>
  </si>
  <si>
    <t>'03</t>
  </si>
  <si>
    <t>'04</t>
  </si>
  <si>
    <t>'05</t>
  </si>
  <si>
    <t>'06</t>
  </si>
  <si>
    <t>'07</t>
  </si>
  <si>
    <t>'08</t>
  </si>
  <si>
    <t>INCREMENTAL ASSESSED VALUE</t>
  </si>
  <si>
    <t>BASE YEAR ASSESSED VALUE</t>
  </si>
  <si>
    <t>INCREMENTAL AV</t>
  </si>
  <si>
    <t>BASE YEAR VALUE</t>
  </si>
  <si>
    <t>Base Year</t>
  </si>
  <si>
    <t>INCREMENTAL GROWTH</t>
  </si>
  <si>
    <t>AV GROWTH</t>
  </si>
  <si>
    <t>BASE YEAR</t>
  </si>
  <si>
    <t>Figures obtained from F:Shared/RDA_Acct/TAX INC/Assessed Value History</t>
  </si>
  <si>
    <t>Figures obtained from S:\RDA_ACCT\PEGGY\Tax Increment\05-06 Est (AVReport)[AV Analysis}</t>
  </si>
  <si>
    <t>BASE YEAR SUMMARY</t>
  </si>
  <si>
    <t>'09</t>
  </si>
  <si>
    <t>'10</t>
  </si>
  <si>
    <t>'11</t>
  </si>
  <si>
    <t>'12</t>
  </si>
  <si>
    <t>'13</t>
  </si>
  <si>
    <t>'14</t>
  </si>
  <si>
    <t>'15</t>
  </si>
  <si>
    <t>'16</t>
  </si>
  <si>
    <t>'17</t>
  </si>
  <si>
    <t>'18</t>
  </si>
  <si>
    <t>2% increase</t>
  </si>
  <si>
    <t>ASSESSED VALUE PROJECTIONS</t>
  </si>
  <si>
    <t>5% decrease</t>
  </si>
  <si>
    <t>3% decrease</t>
  </si>
  <si>
    <t>no change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</si>
</sst>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2" fillId="0" borderId="0" xfId="0" applyFont="1"/>
    <xf numFmtId="0" fontId="0" fillId="0" borderId="1" xfId="0" applyBorder="1"/>
    <xf numFmtId="16" fontId="0" fillId="0" borderId="1" xfId="0" quotePrefix="1" applyNumberFormat="1" applyBorder="1"/>
    <xf numFmtId="0" fontId="0" fillId="0" borderId="1" xfId="0" quotePrefix="1" applyBorder="1"/>
    <xf numFmtId="0" fontId="0" fillId="0" borderId="0" xfId="0" applyFill="1"/>
    <xf numFmtId="3" fontId="0" fillId="0" borderId="0" xfId="0" applyNumberFormat="1" applyFill="1"/>
    <xf numFmtId="10" fontId="0" fillId="0" borderId="0" xfId="0" applyNumberFormat="1"/>
    <xf numFmtId="3" fontId="0" fillId="0" borderId="1" xfId="0" applyNumberFormat="1" applyFill="1" applyBorder="1"/>
    <xf numFmtId="0" fontId="0" fillId="0" borderId="0" xfId="0" applyBorder="1"/>
    <xf numFmtId="16" fontId="0" fillId="0" borderId="0" xfId="0" quotePrefix="1" applyNumberFormat="1" applyBorder="1"/>
    <xf numFmtId="0" fontId="0" fillId="0" borderId="0" xfId="0" quotePrefix="1" applyBorder="1"/>
    <xf numFmtId="3" fontId="0" fillId="0" borderId="0" xfId="0" applyNumberFormat="1" applyBorder="1"/>
    <xf numFmtId="0" fontId="0" fillId="0" borderId="0" xfId="0" applyFill="1" applyBorder="1"/>
    <xf numFmtId="16" fontId="0" fillId="0" borderId="0" xfId="0" quotePrefix="1" applyNumberFormat="1" applyFill="1" applyBorder="1"/>
    <xf numFmtId="0" fontId="0" fillId="0" borderId="0" xfId="0" quotePrefix="1" applyFill="1" applyBorder="1"/>
    <xf numFmtId="0" fontId="2" fillId="0" borderId="0" xfId="0" applyFont="1" applyFill="1"/>
    <xf numFmtId="17" fontId="0" fillId="0" borderId="0" xfId="0" quotePrefix="1" applyNumberFormat="1" applyFill="1"/>
    <xf numFmtId="10" fontId="0" fillId="0" borderId="0" xfId="0" applyNumberFormat="1" applyFill="1"/>
    <xf numFmtId="3" fontId="0" fillId="0" borderId="0" xfId="0" applyNumberFormat="1" applyFill="1" applyBorder="1"/>
    <xf numFmtId="16" fontId="0" fillId="0" borderId="1" xfId="0" quotePrefix="1" applyNumberFormat="1" applyBorder="1" applyAlignment="1">
      <alignment horizontal="right"/>
    </xf>
    <xf numFmtId="0" fontId="0" fillId="0" borderId="1" xfId="0" quotePrefix="1" applyBorder="1" applyAlignment="1">
      <alignment horizontal="right"/>
    </xf>
    <xf numFmtId="3" fontId="2" fillId="0" borderId="0" xfId="0" applyNumberFormat="1" applyFont="1" applyFill="1"/>
    <xf numFmtId="0" fontId="0" fillId="0" borderId="0" xfId="0" applyAlignment="1">
      <alignment wrapText="1"/>
    </xf>
    <xf numFmtId="3" fontId="0" fillId="2" borderId="1" xfId="0" applyNumberFormat="1" applyFill="1" applyBorder="1"/>
    <xf numFmtId="3" fontId="0" fillId="2" borderId="0" xfId="0" applyNumberFormat="1" applyFill="1"/>
    <xf numFmtId="3" fontId="0" fillId="3" borderId="0" xfId="0" applyNumberFormat="1" applyFill="1"/>
    <xf numFmtId="0" fontId="0" fillId="3" borderId="0" xfId="0" applyFill="1" applyBorder="1"/>
    <xf numFmtId="0" fontId="0" fillId="3" borderId="0" xfId="0" applyFill="1"/>
    <xf numFmtId="3" fontId="0" fillId="3" borderId="1" xfId="0" applyNumberFormat="1" applyFill="1" applyBorder="1"/>
    <xf numFmtId="3" fontId="0" fillId="4" borderId="0" xfId="0" applyNumberFormat="1" applyFill="1"/>
    <xf numFmtId="0" fontId="0" fillId="4" borderId="0" xfId="0" applyFill="1" applyBorder="1"/>
    <xf numFmtId="0" fontId="0" fillId="4" borderId="0" xfId="0" applyFill="1"/>
    <xf numFmtId="3" fontId="0" fillId="4" borderId="1" xfId="0" applyNumberFormat="1" applyFill="1" applyBorder="1"/>
    <xf numFmtId="37" fontId="3" fillId="2" borderId="1" xfId="2" applyNumberFormat="1" applyFont="1" applyFill="1" applyBorder="1" applyProtection="1">
      <protection locked="0"/>
    </xf>
    <xf numFmtId="164" fontId="0" fillId="0" borderId="1" xfId="1" applyNumberFormat="1" applyFont="1" applyFill="1" applyBorder="1"/>
    <xf numFmtId="3" fontId="0" fillId="4" borderId="0" xfId="0" applyNumberFormat="1" applyFill="1" applyBorder="1"/>
    <xf numFmtId="3" fontId="0" fillId="5" borderId="1" xfId="0" applyNumberFormat="1" applyFill="1" applyBorder="1"/>
    <xf numFmtId="3" fontId="0" fillId="6" borderId="0" xfId="0" applyNumberFormat="1" applyFill="1" applyBorder="1"/>
    <xf numFmtId="3" fontId="0" fillId="6" borderId="1" xfId="0" applyNumberFormat="1" applyFill="1" applyBorder="1"/>
    <xf numFmtId="0" fontId="0" fillId="6" borderId="0" xfId="0" applyFill="1"/>
    <xf numFmtId="3" fontId="0" fillId="7" borderId="0" xfId="0" applyNumberFormat="1" applyFill="1" applyBorder="1"/>
    <xf numFmtId="3" fontId="0" fillId="7" borderId="1" xfId="0" applyNumberFormat="1" applyFill="1" applyBorder="1"/>
    <xf numFmtId="3" fontId="0" fillId="7" borderId="0" xfId="0" quotePrefix="1" applyNumberFormat="1" applyFill="1" applyBorder="1"/>
    <xf numFmtId="0" fontId="0" fillId="7" borderId="0" xfId="0" applyFill="1"/>
    <xf numFmtId="3" fontId="0" fillId="6" borderId="0" xfId="0" applyNumberFormat="1" applyFill="1"/>
    <xf numFmtId="3" fontId="0" fillId="5" borderId="0" xfId="0" applyNumberFormat="1" applyFill="1"/>
    <xf numFmtId="3" fontId="0" fillId="7" borderId="0" xfId="0" applyNumberFormat="1" applyFill="1"/>
    <xf numFmtId="164" fontId="0" fillId="7" borderId="1" xfId="1" applyNumberFormat="1" applyFont="1" applyFill="1" applyBorder="1"/>
    <xf numFmtId="3" fontId="2" fillId="0" borderId="0" xfId="0" applyNumberFormat="1" applyFont="1" applyFill="1" applyBorder="1"/>
    <xf numFmtId="0" fontId="2" fillId="0" borderId="2" xfId="0" applyFont="1" applyFill="1" applyBorder="1"/>
    <xf numFmtId="3" fontId="2" fillId="0" borderId="3" xfId="0" applyNumberFormat="1" applyFont="1" applyFill="1" applyBorder="1"/>
    <xf numFmtId="3" fontId="2" fillId="0" borderId="4" xfId="0" applyNumberFormat="1" applyFont="1" applyFill="1" applyBorder="1"/>
    <xf numFmtId="3" fontId="2" fillId="0" borderId="3" xfId="0" applyNumberFormat="1" applyFont="1" applyBorder="1"/>
    <xf numFmtId="3" fontId="2" fillId="0" borderId="4" xfId="0" applyNumberFormat="1" applyFont="1" applyBorder="1"/>
    <xf numFmtId="0" fontId="2" fillId="0" borderId="3" xfId="0" applyFont="1" applyFill="1" applyBorder="1"/>
    <xf numFmtId="0" fontId="2" fillId="0" borderId="3" xfId="0" applyFont="1" applyBorder="1"/>
    <xf numFmtId="0" fontId="2" fillId="0" borderId="5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6" xfId="0" applyNumberFormat="1" applyFont="1" applyFill="1" applyBorder="1"/>
    <xf numFmtId="3" fontId="2" fillId="0" borderId="7" xfId="0" applyNumberFormat="1" applyFont="1" applyFill="1" applyBorder="1"/>
    <xf numFmtId="0" fontId="4" fillId="0" borderId="0" xfId="0" applyFont="1"/>
    <xf numFmtId="3" fontId="5" fillId="2" borderId="0" xfId="0" applyNumberFormat="1" applyFont="1" applyFill="1"/>
    <xf numFmtId="0" fontId="0" fillId="6" borderId="0" xfId="0" applyFill="1" applyBorder="1"/>
    <xf numFmtId="0" fontId="0" fillId="5" borderId="0" xfId="0" applyFill="1" applyBorder="1"/>
    <xf numFmtId="0" fontId="0" fillId="7" borderId="0" xfId="0" applyFill="1" applyBorder="1"/>
    <xf numFmtId="16" fontId="0" fillId="7" borderId="0" xfId="0" quotePrefix="1" applyNumberFormat="1" applyFill="1" applyBorder="1"/>
    <xf numFmtId="0" fontId="0" fillId="7" borderId="0" xfId="0" quotePrefix="1" applyFill="1" applyBorder="1"/>
    <xf numFmtId="0" fontId="0" fillId="0" borderId="0" xfId="0" quotePrefix="1"/>
    <xf numFmtId="0" fontId="0" fillId="0" borderId="1" xfId="0" quotePrefix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CC5C"/>
      <color rgb="FF008A3E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PROJECTED</a:t>
            </a:r>
            <a:r>
              <a:rPr lang="en-US" baseline="0"/>
              <a:t> </a:t>
            </a:r>
            <a:r>
              <a:rPr lang="en-US"/>
              <a:t>ASSESSED</a:t>
            </a:r>
            <a:r>
              <a:rPr lang="en-US" baseline="0"/>
              <a:t> VALUE GROWTH IN REDEVELOPMENT AREAS</a:t>
            </a:r>
            <a:endParaRPr lang="en-US"/>
          </a:p>
        </c:rich>
      </c:tx>
      <c:layout>
        <c:manualLayout>
          <c:xMode val="edge"/>
          <c:yMode val="edge"/>
          <c:x val="0.2301151291138398"/>
          <c:y val="2.1352313167259801E-2"/>
        </c:manualLayout>
      </c:layout>
    </c:title>
    <c:plotArea>
      <c:layout>
        <c:manualLayout>
          <c:layoutTarget val="inner"/>
          <c:xMode val="edge"/>
          <c:yMode val="edge"/>
          <c:x val="0.11817981022980156"/>
          <c:y val="0.11169053156611654"/>
          <c:w val="0.84612148871052117"/>
          <c:h val="0.65198647320113123"/>
        </c:manualLayout>
      </c:layout>
      <c:areaChart>
        <c:grouping val="standard"/>
        <c:ser>
          <c:idx val="2"/>
          <c:order val="0"/>
          <c:tx>
            <c:strRef>
              <c:f>Summary!$A$14</c:f>
              <c:strCache>
                <c:ptCount val="1"/>
                <c:pt idx="0">
                  <c:v>ASSESSED VALUE PROJECTIONS</c:v>
                </c:pt>
              </c:strCache>
            </c:strRef>
          </c:tx>
          <c:spPr>
            <a:solidFill>
              <a:srgbClr val="00B050">
                <a:alpha val="27000"/>
              </a:srgbClr>
            </a:solidFill>
            <a:ln>
              <a:noFill/>
            </a:ln>
          </c:spPr>
          <c:cat>
            <c:strRef>
              <c:f>Summary!$B$3:$AH$3</c:f>
              <c:strCache>
                <c:ptCount val="33"/>
                <c:pt idx="0">
                  <c:v>'86</c:v>
                </c:pt>
                <c:pt idx="1">
                  <c:v>'87</c:v>
                </c:pt>
                <c:pt idx="2">
                  <c:v>'88</c:v>
                </c:pt>
                <c:pt idx="3">
                  <c:v>'89</c:v>
                </c:pt>
                <c:pt idx="4">
                  <c:v>'90</c:v>
                </c:pt>
                <c:pt idx="5">
                  <c:v>'91</c:v>
                </c:pt>
                <c:pt idx="6">
                  <c:v>'92</c:v>
                </c:pt>
                <c:pt idx="7">
                  <c:v>'93</c:v>
                </c:pt>
                <c:pt idx="8">
                  <c:v>'94</c:v>
                </c:pt>
                <c:pt idx="9">
                  <c:v>'95</c:v>
                </c:pt>
                <c:pt idx="10">
                  <c:v>'96</c:v>
                </c:pt>
                <c:pt idx="11">
                  <c:v>'97</c:v>
                </c:pt>
                <c:pt idx="12">
                  <c:v>'98</c:v>
                </c:pt>
                <c:pt idx="13">
                  <c:v>'99</c:v>
                </c:pt>
                <c:pt idx="14">
                  <c:v>'00</c:v>
                </c:pt>
                <c:pt idx="15">
                  <c:v>'01</c:v>
                </c:pt>
                <c:pt idx="16">
                  <c:v>'02</c:v>
                </c:pt>
                <c:pt idx="17">
                  <c:v>'03</c:v>
                </c:pt>
                <c:pt idx="18">
                  <c:v>'04</c:v>
                </c:pt>
                <c:pt idx="19">
                  <c:v>'05</c:v>
                </c:pt>
                <c:pt idx="20">
                  <c:v>'06</c:v>
                </c:pt>
                <c:pt idx="21">
                  <c:v>'07</c:v>
                </c:pt>
                <c:pt idx="22">
                  <c:v>'08</c:v>
                </c:pt>
                <c:pt idx="23">
                  <c:v>'09</c:v>
                </c:pt>
                <c:pt idx="24">
                  <c:v>'10</c:v>
                </c:pt>
                <c:pt idx="25">
                  <c:v>'11</c:v>
                </c:pt>
                <c:pt idx="26">
                  <c:v>'12</c:v>
                </c:pt>
                <c:pt idx="27">
                  <c:v>'13</c:v>
                </c:pt>
                <c:pt idx="28">
                  <c:v>'14</c:v>
                </c:pt>
                <c:pt idx="29">
                  <c:v>'15</c:v>
                </c:pt>
                <c:pt idx="30">
                  <c:v>'16</c:v>
                </c:pt>
                <c:pt idx="31">
                  <c:v>'17</c:v>
                </c:pt>
                <c:pt idx="32">
                  <c:v>'18</c:v>
                </c:pt>
              </c:strCache>
            </c:strRef>
          </c:cat>
          <c:val>
            <c:numRef>
              <c:f>Summary!$B$14:$AH$14</c:f>
              <c:numCache>
                <c:formatCode>General</c:formatCode>
                <c:ptCount val="33"/>
                <c:pt idx="23" formatCode="#,##0">
                  <c:v>10864124147.25</c:v>
                </c:pt>
                <c:pt idx="24" formatCode="#,##0">
                  <c:v>10320917939.887501</c:v>
                </c:pt>
                <c:pt idx="25" formatCode="#,##0">
                  <c:v>10011290401.690876</c:v>
                </c:pt>
                <c:pt idx="26" formatCode="#,##0">
                  <c:v>10011290401.690876</c:v>
                </c:pt>
                <c:pt idx="27" formatCode="#,##0">
                  <c:v>10211516209.724691</c:v>
                </c:pt>
                <c:pt idx="28" formatCode="#,##0">
                  <c:v>10415746533.919186</c:v>
                </c:pt>
                <c:pt idx="29" formatCode="#,##0">
                  <c:v>10624061464.59757</c:v>
                </c:pt>
                <c:pt idx="30" formatCode="#,##0">
                  <c:v>10836542693.889523</c:v>
                </c:pt>
                <c:pt idx="31" formatCode="#,##0">
                  <c:v>11053273547.767313</c:v>
                </c:pt>
                <c:pt idx="32" formatCode="#,##0">
                  <c:v>11274339018.722658</c:v>
                </c:pt>
              </c:numCache>
            </c:numRef>
          </c:val>
        </c:ser>
        <c:ser>
          <c:idx val="1"/>
          <c:order val="1"/>
          <c:tx>
            <c:strRef>
              <c:f>Summary!$A$9</c:f>
              <c:strCache>
                <c:ptCount val="1"/>
                <c:pt idx="0">
                  <c:v>INCREMENTAL ASSESSED VALUE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cat>
            <c:strRef>
              <c:f>Summary!$B$3:$AH$3</c:f>
              <c:strCache>
                <c:ptCount val="33"/>
                <c:pt idx="0">
                  <c:v>'86</c:v>
                </c:pt>
                <c:pt idx="1">
                  <c:v>'87</c:v>
                </c:pt>
                <c:pt idx="2">
                  <c:v>'88</c:v>
                </c:pt>
                <c:pt idx="3">
                  <c:v>'89</c:v>
                </c:pt>
                <c:pt idx="4">
                  <c:v>'90</c:v>
                </c:pt>
                <c:pt idx="5">
                  <c:v>'91</c:v>
                </c:pt>
                <c:pt idx="6">
                  <c:v>'92</c:v>
                </c:pt>
                <c:pt idx="7">
                  <c:v>'93</c:v>
                </c:pt>
                <c:pt idx="8">
                  <c:v>'94</c:v>
                </c:pt>
                <c:pt idx="9">
                  <c:v>'95</c:v>
                </c:pt>
                <c:pt idx="10">
                  <c:v>'96</c:v>
                </c:pt>
                <c:pt idx="11">
                  <c:v>'97</c:v>
                </c:pt>
                <c:pt idx="12">
                  <c:v>'98</c:v>
                </c:pt>
                <c:pt idx="13">
                  <c:v>'99</c:v>
                </c:pt>
                <c:pt idx="14">
                  <c:v>'00</c:v>
                </c:pt>
                <c:pt idx="15">
                  <c:v>'01</c:v>
                </c:pt>
                <c:pt idx="16">
                  <c:v>'02</c:v>
                </c:pt>
                <c:pt idx="17">
                  <c:v>'03</c:v>
                </c:pt>
                <c:pt idx="18">
                  <c:v>'04</c:v>
                </c:pt>
                <c:pt idx="19">
                  <c:v>'05</c:v>
                </c:pt>
                <c:pt idx="20">
                  <c:v>'06</c:v>
                </c:pt>
                <c:pt idx="21">
                  <c:v>'07</c:v>
                </c:pt>
                <c:pt idx="22">
                  <c:v>'08</c:v>
                </c:pt>
                <c:pt idx="23">
                  <c:v>'09</c:v>
                </c:pt>
                <c:pt idx="24">
                  <c:v>'10</c:v>
                </c:pt>
                <c:pt idx="25">
                  <c:v>'11</c:v>
                </c:pt>
                <c:pt idx="26">
                  <c:v>'12</c:v>
                </c:pt>
                <c:pt idx="27">
                  <c:v>'13</c:v>
                </c:pt>
                <c:pt idx="28">
                  <c:v>'14</c:v>
                </c:pt>
                <c:pt idx="29">
                  <c:v>'15</c:v>
                </c:pt>
                <c:pt idx="30">
                  <c:v>'16</c:v>
                </c:pt>
                <c:pt idx="31">
                  <c:v>'17</c:v>
                </c:pt>
                <c:pt idx="32">
                  <c:v>'18</c:v>
                </c:pt>
              </c:strCache>
            </c:strRef>
          </c:cat>
          <c:val>
            <c:numRef>
              <c:f>Summary!$B$9:$Y$9</c:f>
              <c:numCache>
                <c:formatCode>#,##0</c:formatCode>
                <c:ptCount val="24"/>
                <c:pt idx="0">
                  <c:v>337780029</c:v>
                </c:pt>
                <c:pt idx="1">
                  <c:v>461969751</c:v>
                </c:pt>
                <c:pt idx="2">
                  <c:v>592454579</c:v>
                </c:pt>
                <c:pt idx="3">
                  <c:v>776649801</c:v>
                </c:pt>
                <c:pt idx="4">
                  <c:v>943049656</c:v>
                </c:pt>
                <c:pt idx="5">
                  <c:v>1109875083</c:v>
                </c:pt>
                <c:pt idx="6">
                  <c:v>1304882157</c:v>
                </c:pt>
                <c:pt idx="7">
                  <c:v>1347894154</c:v>
                </c:pt>
                <c:pt idx="8">
                  <c:v>1371576850</c:v>
                </c:pt>
                <c:pt idx="9">
                  <c:v>1454998587</c:v>
                </c:pt>
                <c:pt idx="10">
                  <c:v>2344219827</c:v>
                </c:pt>
                <c:pt idx="11">
                  <c:v>2709226706</c:v>
                </c:pt>
                <c:pt idx="12">
                  <c:v>3168867990</c:v>
                </c:pt>
                <c:pt idx="13">
                  <c:v>3600293490</c:v>
                </c:pt>
                <c:pt idx="14">
                  <c:v>4960403927</c:v>
                </c:pt>
                <c:pt idx="15">
                  <c:v>4473321554</c:v>
                </c:pt>
                <c:pt idx="16">
                  <c:v>4898932537</c:v>
                </c:pt>
                <c:pt idx="17">
                  <c:v>5263020177</c:v>
                </c:pt>
                <c:pt idx="18">
                  <c:v>5841461456</c:v>
                </c:pt>
                <c:pt idx="19">
                  <c:v>7088410417</c:v>
                </c:pt>
                <c:pt idx="20">
                  <c:v>8753694978</c:v>
                </c:pt>
                <c:pt idx="21">
                  <c:v>10546710266</c:v>
                </c:pt>
                <c:pt idx="22">
                  <c:v>11435920155</c:v>
                </c:pt>
                <c:pt idx="23">
                  <c:v>10864124147.25</c:v>
                </c:pt>
              </c:numCache>
            </c:numRef>
          </c:val>
        </c:ser>
        <c:ser>
          <c:idx val="0"/>
          <c:order val="2"/>
          <c:tx>
            <c:strRef>
              <c:f>Summary!$A$10</c:f>
              <c:strCache>
                <c:ptCount val="1"/>
                <c:pt idx="0">
                  <c:v>BASE YEAR ASSESSED VALUE</c:v>
                </c:pt>
              </c:strCache>
            </c:strRef>
          </c:tx>
          <c:spPr>
            <a:solidFill>
              <a:srgbClr val="FFFF00"/>
            </a:solidFill>
            <a:ln w="28575">
              <a:solidFill>
                <a:schemeClr val="tx1"/>
              </a:solidFill>
            </a:ln>
          </c:spPr>
          <c:cat>
            <c:strRef>
              <c:f>Summary!$B$3:$AH$3</c:f>
              <c:strCache>
                <c:ptCount val="33"/>
                <c:pt idx="0">
                  <c:v>'86</c:v>
                </c:pt>
                <c:pt idx="1">
                  <c:v>'87</c:v>
                </c:pt>
                <c:pt idx="2">
                  <c:v>'88</c:v>
                </c:pt>
                <c:pt idx="3">
                  <c:v>'89</c:v>
                </c:pt>
                <c:pt idx="4">
                  <c:v>'90</c:v>
                </c:pt>
                <c:pt idx="5">
                  <c:v>'91</c:v>
                </c:pt>
                <c:pt idx="6">
                  <c:v>'92</c:v>
                </c:pt>
                <c:pt idx="7">
                  <c:v>'93</c:v>
                </c:pt>
                <c:pt idx="8">
                  <c:v>'94</c:v>
                </c:pt>
                <c:pt idx="9">
                  <c:v>'95</c:v>
                </c:pt>
                <c:pt idx="10">
                  <c:v>'96</c:v>
                </c:pt>
                <c:pt idx="11">
                  <c:v>'97</c:v>
                </c:pt>
                <c:pt idx="12">
                  <c:v>'98</c:v>
                </c:pt>
                <c:pt idx="13">
                  <c:v>'99</c:v>
                </c:pt>
                <c:pt idx="14">
                  <c:v>'00</c:v>
                </c:pt>
                <c:pt idx="15">
                  <c:v>'01</c:v>
                </c:pt>
                <c:pt idx="16">
                  <c:v>'02</c:v>
                </c:pt>
                <c:pt idx="17">
                  <c:v>'03</c:v>
                </c:pt>
                <c:pt idx="18">
                  <c:v>'04</c:v>
                </c:pt>
                <c:pt idx="19">
                  <c:v>'05</c:v>
                </c:pt>
                <c:pt idx="20">
                  <c:v>'06</c:v>
                </c:pt>
                <c:pt idx="21">
                  <c:v>'07</c:v>
                </c:pt>
                <c:pt idx="22">
                  <c:v>'08</c:v>
                </c:pt>
                <c:pt idx="23">
                  <c:v>'09</c:v>
                </c:pt>
                <c:pt idx="24">
                  <c:v>'10</c:v>
                </c:pt>
                <c:pt idx="25">
                  <c:v>'11</c:v>
                </c:pt>
                <c:pt idx="26">
                  <c:v>'12</c:v>
                </c:pt>
                <c:pt idx="27">
                  <c:v>'13</c:v>
                </c:pt>
                <c:pt idx="28">
                  <c:v>'14</c:v>
                </c:pt>
                <c:pt idx="29">
                  <c:v>'15</c:v>
                </c:pt>
                <c:pt idx="30">
                  <c:v>'16</c:v>
                </c:pt>
                <c:pt idx="31">
                  <c:v>'17</c:v>
                </c:pt>
                <c:pt idx="32">
                  <c:v>'18</c:v>
                </c:pt>
              </c:strCache>
            </c:strRef>
          </c:cat>
          <c:val>
            <c:numRef>
              <c:f>Summary!$B$10:$AH$10</c:f>
              <c:numCache>
                <c:formatCode>#,##0</c:formatCode>
                <c:ptCount val="33"/>
                <c:pt idx="0">
                  <c:v>337780029</c:v>
                </c:pt>
                <c:pt idx="1">
                  <c:v>402605451</c:v>
                </c:pt>
                <c:pt idx="2">
                  <c:v>461727379</c:v>
                </c:pt>
                <c:pt idx="3">
                  <c:v>597204072</c:v>
                </c:pt>
                <c:pt idx="4">
                  <c:v>597204072</c:v>
                </c:pt>
                <c:pt idx="5">
                  <c:v>597204072</c:v>
                </c:pt>
                <c:pt idx="6">
                  <c:v>597204072</c:v>
                </c:pt>
                <c:pt idx="7">
                  <c:v>597204072</c:v>
                </c:pt>
                <c:pt idx="8">
                  <c:v>597204072</c:v>
                </c:pt>
                <c:pt idx="9">
                  <c:v>597204072</c:v>
                </c:pt>
                <c:pt idx="10">
                  <c:v>1467723806</c:v>
                </c:pt>
                <c:pt idx="11">
                  <c:v>1467723806</c:v>
                </c:pt>
                <c:pt idx="12">
                  <c:v>2141175290</c:v>
                </c:pt>
                <c:pt idx="13">
                  <c:v>2141175290</c:v>
                </c:pt>
                <c:pt idx="14">
                  <c:v>2141175290</c:v>
                </c:pt>
                <c:pt idx="15">
                  <c:v>2322277564</c:v>
                </c:pt>
                <c:pt idx="16">
                  <c:v>2322277564</c:v>
                </c:pt>
                <c:pt idx="17">
                  <c:v>2322277564</c:v>
                </c:pt>
                <c:pt idx="18">
                  <c:v>2322277564</c:v>
                </c:pt>
                <c:pt idx="19">
                  <c:v>2409796825</c:v>
                </c:pt>
                <c:pt idx="20">
                  <c:v>2409796825</c:v>
                </c:pt>
                <c:pt idx="21">
                  <c:v>2409796825</c:v>
                </c:pt>
                <c:pt idx="22">
                  <c:v>3070515825</c:v>
                </c:pt>
                <c:pt idx="23">
                  <c:v>3070515825</c:v>
                </c:pt>
                <c:pt idx="24">
                  <c:v>3070515825</c:v>
                </c:pt>
                <c:pt idx="25">
                  <c:v>3070515825</c:v>
                </c:pt>
                <c:pt idx="26">
                  <c:v>3070515825</c:v>
                </c:pt>
                <c:pt idx="27">
                  <c:v>3070515825</c:v>
                </c:pt>
                <c:pt idx="28">
                  <c:v>3070515825</c:v>
                </c:pt>
                <c:pt idx="29">
                  <c:v>3070515825</c:v>
                </c:pt>
                <c:pt idx="30">
                  <c:v>3070515825</c:v>
                </c:pt>
                <c:pt idx="31">
                  <c:v>3070515825</c:v>
                </c:pt>
                <c:pt idx="32">
                  <c:v>3070515825</c:v>
                </c:pt>
              </c:numCache>
            </c:numRef>
          </c:val>
        </c:ser>
        <c:axId val="55539968"/>
        <c:axId val="55549952"/>
      </c:areaChart>
      <c:catAx>
        <c:axId val="55539968"/>
        <c:scaling>
          <c:orientation val="minMax"/>
        </c:scaling>
        <c:axPos val="b"/>
        <c:majorTickMark val="none"/>
        <c:tickLblPos val="nextTo"/>
        <c:crossAx val="55549952"/>
        <c:crosses val="autoZero"/>
        <c:auto val="1"/>
        <c:lblAlgn val="ctr"/>
        <c:lblOffset val="100"/>
      </c:catAx>
      <c:valAx>
        <c:axId val="55549952"/>
        <c:scaling>
          <c:orientation val="minMax"/>
          <c:min val="0"/>
        </c:scaling>
        <c:axPos val="l"/>
        <c:majorGridlines/>
        <c:numFmt formatCode="#,##0" sourceLinked="0"/>
        <c:majorTickMark val="none"/>
        <c:tickLblPos val="nextTo"/>
        <c:txPr>
          <a:bodyPr/>
          <a:lstStyle/>
          <a:p>
            <a:pPr>
              <a:defRPr baseline="0"/>
            </a:pPr>
            <a:endParaRPr lang="en-US"/>
          </a:p>
        </c:txPr>
        <c:crossAx val="55539968"/>
        <c:crosses val="autoZero"/>
        <c:crossBetween val="midCat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317500</xdr:colOff>
      <xdr:row>16</xdr:row>
      <xdr:rowOff>19050</xdr:rowOff>
    </xdr:from>
    <xdr:to>
      <xdr:col>32</xdr:col>
      <xdr:colOff>736600</xdr:colOff>
      <xdr:row>49</xdr:row>
      <xdr:rowOff>177800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0.24711</cdr:x>
      <cdr:y>0.82808</cdr:y>
    </cdr:from>
    <cdr:to>
      <cdr:x>0.76898</cdr:x>
      <cdr:y>0.88463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86003" y="5412635"/>
          <a:ext cx="6306159" cy="369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Fiscal</a:t>
          </a:r>
          <a:r>
            <a:rPr lang="en-US" sz="1400" b="1" baseline="0"/>
            <a:t> Year </a:t>
          </a:r>
          <a:endParaRPr lang="en-US" sz="1400" b="1"/>
        </a:p>
      </cdr:txBody>
    </cdr:sp>
  </cdr:relSizeAnchor>
  <cdr:relSizeAnchor xmlns:cdr="http://schemas.openxmlformats.org/drawingml/2006/chartDrawing">
    <cdr:from>
      <cdr:x>0.52914</cdr:x>
      <cdr:y>0.68254</cdr:y>
    </cdr:from>
    <cdr:to>
      <cdr:x>0.77885</cdr:x>
      <cdr:y>0.7377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393961" y="4461345"/>
          <a:ext cx="3017439" cy="3605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BASE</a:t>
          </a:r>
          <a:r>
            <a:rPr lang="en-US" sz="1200" b="1" baseline="0"/>
            <a:t> YEAR ASSESSED VALUE</a:t>
          </a:r>
          <a:endParaRPr lang="en-US" sz="1200" b="1"/>
        </a:p>
      </cdr:txBody>
    </cdr:sp>
  </cdr:relSizeAnchor>
  <cdr:relSizeAnchor xmlns:cdr="http://schemas.openxmlformats.org/drawingml/2006/chartDrawing">
    <cdr:from>
      <cdr:x>0.00243</cdr:x>
      <cdr:y>0.25801</cdr:y>
    </cdr:from>
    <cdr:to>
      <cdr:x>0.03641</cdr:x>
      <cdr:y>0.73488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0" y="1381125"/>
          <a:ext cx="266700" cy="2552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0.00408</cdr:x>
      <cdr:y>0.20857</cdr:y>
    </cdr:from>
    <cdr:to>
      <cdr:x>0.04777</cdr:x>
      <cdr:y>0.53775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9331" y="1363283"/>
          <a:ext cx="527940" cy="2151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/>
        <a:p xmlns:a="http://schemas.openxmlformats.org/drawingml/2006/main">
          <a:r>
            <a:rPr lang="en-US" sz="1400" b="1"/>
            <a:t>Assessed</a:t>
          </a:r>
          <a:r>
            <a:rPr lang="en-US" sz="1400" b="1" baseline="0"/>
            <a:t> Value</a:t>
          </a:r>
          <a:endParaRPr lang="en-US" sz="1400" b="1"/>
        </a:p>
      </cdr:txBody>
    </cdr:sp>
  </cdr:relSizeAnchor>
  <cdr:relSizeAnchor xmlns:cdr="http://schemas.openxmlformats.org/drawingml/2006/chartDrawing">
    <cdr:from>
      <cdr:x>0.49002</cdr:x>
      <cdr:y>0.56922</cdr:y>
    </cdr:from>
    <cdr:to>
      <cdr:x>0.79221</cdr:x>
      <cdr:y>0.62438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921250" y="3720602"/>
          <a:ext cx="3651596" cy="3605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 baseline="0"/>
            <a:t>INCREMENTAL ASSESSED VALUE</a:t>
          </a:r>
          <a:endParaRPr lang="en-US" sz="1200" b="1"/>
        </a:p>
      </cdr:txBody>
    </cdr:sp>
  </cdr:relSizeAnchor>
  <cdr:relSizeAnchor xmlns:cdr="http://schemas.openxmlformats.org/drawingml/2006/chartDrawing">
    <cdr:from>
      <cdr:x>0.73966</cdr:x>
      <cdr:y>0.41241</cdr:y>
    </cdr:from>
    <cdr:to>
      <cdr:x>0.95764</cdr:x>
      <cdr:y>0.56009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8937924" y="2695655"/>
          <a:ext cx="2634022" cy="9652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/>
            <a:t>ASSESSED</a:t>
          </a:r>
          <a:r>
            <a:rPr lang="en-US" sz="1200" b="1" baseline="0"/>
            <a:t> VALUE PROJECTIONS</a:t>
          </a:r>
          <a:endParaRPr lang="en-US" sz="1200" b="1"/>
        </a:p>
      </cdr:txBody>
    </cdr:sp>
  </cdr:relSizeAnchor>
  <cdr:relSizeAnchor xmlns:cdr="http://schemas.openxmlformats.org/drawingml/2006/chartDrawing">
    <cdr:from>
      <cdr:x>0.74737</cdr:x>
      <cdr:y>0.81938</cdr:y>
    </cdr:from>
    <cdr:to>
      <cdr:x>0.93904</cdr:x>
      <cdr:y>0.98125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9031090" y="5355769"/>
          <a:ext cx="2316083" cy="105800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200" b="1" u="sng"/>
            <a:t>Fiscal</a:t>
          </a:r>
          <a:r>
            <a:rPr lang="en-US" sz="1200" b="1" u="sng" baseline="0"/>
            <a:t> Year(s)	Projected Growth</a:t>
          </a:r>
          <a:endParaRPr lang="en-US" sz="1200" b="0" u="none" baseline="0"/>
        </a:p>
        <a:p xmlns:a="http://schemas.openxmlformats.org/drawingml/2006/main">
          <a:pPr algn="l"/>
          <a:r>
            <a:rPr lang="en-US" sz="1200" b="0" u="none" baseline="0"/>
            <a:t>    '09, '10	5% decrease</a:t>
          </a:r>
        </a:p>
        <a:p xmlns:a="http://schemas.openxmlformats.org/drawingml/2006/main">
          <a:pPr algn="l"/>
          <a:r>
            <a:rPr lang="en-US" sz="1200" b="0" u="none" baseline="0"/>
            <a:t>    '11	3% decrease</a:t>
          </a:r>
        </a:p>
        <a:p xmlns:a="http://schemas.openxmlformats.org/drawingml/2006/main">
          <a:pPr algn="l"/>
          <a:r>
            <a:rPr lang="en-US" sz="1200" b="0" u="none" baseline="0"/>
            <a:t>    '12	no change</a:t>
          </a:r>
        </a:p>
        <a:p xmlns:a="http://schemas.openxmlformats.org/drawingml/2006/main">
          <a:pPr algn="l"/>
          <a:r>
            <a:rPr lang="en-US" sz="1200" b="0" u="none" baseline="0"/>
            <a:t>    '13 - '18	2% increase</a:t>
          </a:r>
        </a:p>
        <a:p xmlns:a="http://schemas.openxmlformats.org/drawingml/2006/main">
          <a:pPr algn="l"/>
          <a:endParaRPr lang="en-US" sz="1200" b="0" u="none" baseline="0"/>
        </a:p>
        <a:p xmlns:a="http://schemas.openxmlformats.org/drawingml/2006/main">
          <a:pPr algn="l"/>
          <a:r>
            <a:rPr lang="en-US" sz="1200" b="0" u="none" baseline="0"/>
            <a:t>    </a:t>
          </a:r>
          <a:endParaRPr lang="en-US" sz="1200" b="1" u="sng"/>
        </a:p>
        <a:p xmlns:a="http://schemas.openxmlformats.org/drawingml/2006/main">
          <a:pPr algn="ctr"/>
          <a:endParaRPr lang="en-US" sz="1200" b="1" u="sng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I17"/>
  <sheetViews>
    <sheetView tabSelected="1" topLeftCell="V9" zoomScale="69" zoomScaleNormal="69" workbookViewId="0">
      <selection activeCell="AH31" sqref="AH31"/>
    </sheetView>
  </sheetViews>
  <sheetFormatPr defaultRowHeight="15"/>
  <cols>
    <col min="1" max="1" width="29" customWidth="1"/>
    <col min="2" max="23" width="19.7109375" customWidth="1"/>
    <col min="24" max="24" width="16" customWidth="1"/>
    <col min="25" max="25" width="15.28515625" customWidth="1"/>
    <col min="26" max="27" width="13.5703125" customWidth="1"/>
    <col min="28" max="28" width="14.7109375" customWidth="1"/>
    <col min="29" max="29" width="17.5703125" customWidth="1"/>
    <col min="30" max="30" width="15.7109375" customWidth="1"/>
    <col min="31" max="31" width="14.5703125" customWidth="1"/>
    <col min="32" max="32" width="14.42578125" customWidth="1"/>
    <col min="33" max="33" width="14.5703125" customWidth="1"/>
    <col min="34" max="34" width="15" customWidth="1"/>
  </cols>
  <sheetData>
    <row r="2" spans="1:35">
      <c r="Y2" s="71" t="s">
        <v>118</v>
      </c>
      <c r="Z2" s="71" t="s">
        <v>118</v>
      </c>
      <c r="AA2" s="71" t="s">
        <v>119</v>
      </c>
      <c r="AB2" s="71" t="s">
        <v>120</v>
      </c>
      <c r="AC2" s="71" t="s">
        <v>116</v>
      </c>
      <c r="AD2" s="71" t="s">
        <v>116</v>
      </c>
      <c r="AE2" s="71" t="s">
        <v>116</v>
      </c>
      <c r="AF2" s="71" t="s">
        <v>116</v>
      </c>
      <c r="AG2" s="71" t="s">
        <v>116</v>
      </c>
      <c r="AH2" s="71" t="s">
        <v>116</v>
      </c>
    </row>
    <row r="3" spans="1:35">
      <c r="B3" s="6" t="s">
        <v>72</v>
      </c>
      <c r="C3" s="6" t="s">
        <v>73</v>
      </c>
      <c r="D3" s="6" t="s">
        <v>74</v>
      </c>
      <c r="E3" s="6" t="s">
        <v>75</v>
      </c>
      <c r="F3" s="6" t="s">
        <v>76</v>
      </c>
      <c r="G3" s="6" t="s">
        <v>77</v>
      </c>
      <c r="H3" s="6" t="s">
        <v>78</v>
      </c>
      <c r="I3" s="6" t="s">
        <v>79</v>
      </c>
      <c r="J3" s="6" t="s">
        <v>80</v>
      </c>
      <c r="K3" s="6" t="s">
        <v>81</v>
      </c>
      <c r="L3" s="6" t="s">
        <v>82</v>
      </c>
      <c r="M3" s="6" t="s">
        <v>83</v>
      </c>
      <c r="N3" s="6" t="s">
        <v>84</v>
      </c>
      <c r="O3" s="6" t="s">
        <v>85</v>
      </c>
      <c r="P3" s="6" t="s">
        <v>86</v>
      </c>
      <c r="Q3" s="22" t="s">
        <v>87</v>
      </c>
      <c r="R3" s="6" t="s">
        <v>88</v>
      </c>
      <c r="S3" s="6" t="s">
        <v>89</v>
      </c>
      <c r="T3" s="23" t="s">
        <v>90</v>
      </c>
      <c r="U3" s="23" t="s">
        <v>91</v>
      </c>
      <c r="V3" s="23" t="s">
        <v>92</v>
      </c>
      <c r="W3" s="22" t="s">
        <v>93</v>
      </c>
      <c r="X3" s="23" t="s">
        <v>94</v>
      </c>
      <c r="Y3" s="72" t="s">
        <v>106</v>
      </c>
      <c r="Z3" s="72" t="s">
        <v>107</v>
      </c>
      <c r="AA3" s="72" t="s">
        <v>108</v>
      </c>
      <c r="AB3" s="72" t="s">
        <v>109</v>
      </c>
      <c r="AC3" s="72" t="s">
        <v>110</v>
      </c>
      <c r="AD3" s="72" t="s">
        <v>111</v>
      </c>
      <c r="AE3" s="72" t="s">
        <v>112</v>
      </c>
      <c r="AF3" s="72" t="s">
        <v>113</v>
      </c>
      <c r="AG3" s="72" t="s">
        <v>114</v>
      </c>
      <c r="AH3" s="72" t="s">
        <v>115</v>
      </c>
    </row>
    <row r="4" spans="1:35" s="7" customFormat="1">
      <c r="A4" s="19" t="s">
        <v>66</v>
      </c>
      <c r="B4" s="21">
        <f>SUM('1-1986'!B22)</f>
        <v>24961646</v>
      </c>
      <c r="C4" s="21">
        <f>SUM('1-1986'!C22)</f>
        <v>26375046</v>
      </c>
      <c r="D4" s="21">
        <f>SUM('1-1986'!D22)</f>
        <v>32939346</v>
      </c>
      <c r="E4" s="21">
        <f>SUM('1-1986'!E22)</f>
        <v>36517146</v>
      </c>
      <c r="F4" s="21">
        <f>SUM('1-1986'!F22)</f>
        <v>41360646</v>
      </c>
      <c r="G4" s="21">
        <f>SUM('1-1986'!G22)</f>
        <v>42955946</v>
      </c>
      <c r="H4" s="21">
        <f>SUM('1-1986'!H22)</f>
        <v>48143646</v>
      </c>
      <c r="I4" s="21">
        <f>SUM('1-1986'!I22)</f>
        <v>49158146</v>
      </c>
      <c r="J4" s="21">
        <f>SUM('1-1986'!J22)</f>
        <v>48400846</v>
      </c>
      <c r="K4" s="21">
        <f>SUM('1-1986'!K22)</f>
        <v>50225846</v>
      </c>
      <c r="L4" s="21">
        <f>SUM('1-1986'!L22)</f>
        <v>54400246</v>
      </c>
      <c r="M4" s="21">
        <f>SUM('1-1986'!M22)</f>
        <v>49559746</v>
      </c>
      <c r="N4" s="21">
        <f>SUM('1-1986'!N22)</f>
        <v>475316082</v>
      </c>
      <c r="O4" s="21">
        <f>SUM('1-1986'!O22)</f>
        <v>495435482</v>
      </c>
      <c r="P4" s="21">
        <f>SUM('1-1986'!P22)</f>
        <v>513858697</v>
      </c>
      <c r="Q4" s="21">
        <f>SUM('1-1986'!Q22)</f>
        <v>545300888</v>
      </c>
      <c r="R4" s="21">
        <f>SUM('1-1986'!R22)</f>
        <v>621385867</v>
      </c>
      <c r="S4" s="21">
        <f>SUM('1-1986'!S22)</f>
        <v>677249460</v>
      </c>
      <c r="T4" s="21">
        <f>SUM('1-1986'!T22)</f>
        <v>809660686</v>
      </c>
      <c r="U4" s="21">
        <f>SUM('1-1986'!U22)</f>
        <v>1019069724</v>
      </c>
      <c r="V4" s="21">
        <f>SUM('1-1986'!V22)</f>
        <v>1257999285</v>
      </c>
      <c r="W4" s="21">
        <f>SUM('1-1986'!W22)</f>
        <v>1404715126</v>
      </c>
      <c r="X4" s="21">
        <f>SUM('1-1986'!X22)</f>
        <v>1447383305</v>
      </c>
      <c r="Y4" s="8">
        <f>SUM(X4-(X4*0.05))</f>
        <v>1375014139.75</v>
      </c>
      <c r="Z4" s="8">
        <f>SUM(Y4-(Y4*0.05))</f>
        <v>1306263432.7625</v>
      </c>
      <c r="AA4" s="8">
        <f>SUM(Z4-(Z4*0.03))</f>
        <v>1267075529.7796249</v>
      </c>
      <c r="AB4" s="8">
        <f>SUM(AA4)</f>
        <v>1267075529.7796249</v>
      </c>
      <c r="AC4" s="8">
        <f>SUM(AB4+(AB4*0.02))</f>
        <v>1292417040.3752174</v>
      </c>
      <c r="AD4" s="8">
        <f t="shared" ref="AD4:AH4" si="0">SUM(AC4+(AC4*0.02))</f>
        <v>1318265381.1827219</v>
      </c>
      <c r="AE4" s="8">
        <f t="shared" si="0"/>
        <v>1344630688.8063762</v>
      </c>
      <c r="AF4" s="8">
        <f t="shared" si="0"/>
        <v>1371523302.5825038</v>
      </c>
      <c r="AG4" s="8">
        <f t="shared" si="0"/>
        <v>1398953768.6341538</v>
      </c>
      <c r="AH4" s="8">
        <f t="shared" si="0"/>
        <v>1426932844.0068369</v>
      </c>
      <c r="AI4" s="8"/>
    </row>
    <row r="5" spans="1:35" s="7" customFormat="1">
      <c r="A5" s="7" t="s">
        <v>67</v>
      </c>
      <c r="B5" s="8">
        <f>SUM(JVPA!B52)</f>
        <v>20431414</v>
      </c>
      <c r="C5" s="8">
        <f>SUM(JVPA!C52)</f>
        <v>82849117</v>
      </c>
      <c r="D5" s="8">
        <f>SUM(JVPA!D52)</f>
        <v>151843691</v>
      </c>
      <c r="E5" s="8">
        <f>SUM(JVPA!E52)</f>
        <v>269509401</v>
      </c>
      <c r="F5" s="8">
        <f>SUM(JVPA!F52)</f>
        <v>356480895</v>
      </c>
      <c r="G5" s="8">
        <f>SUM(JVPA!G52)</f>
        <v>435977318</v>
      </c>
      <c r="H5" s="8">
        <f>SUM(JVPA!H52)</f>
        <v>550395009</v>
      </c>
      <c r="I5" s="8">
        <f>SUM(JVPA!I52)</f>
        <v>569407179</v>
      </c>
      <c r="J5" s="8">
        <f>SUM(JVPA!J52)</f>
        <v>532447839</v>
      </c>
      <c r="K5" s="8">
        <f>SUM(JVPA!K52)</f>
        <v>614562021</v>
      </c>
      <c r="L5" s="8">
        <f>SUM(JVPA!L52)</f>
        <v>1534373384</v>
      </c>
      <c r="M5" s="8">
        <f>SUM(JVPA!M52)</f>
        <v>1562138635</v>
      </c>
      <c r="N5" s="8">
        <f>SUM(JVPA!N52)</f>
        <v>1587153235</v>
      </c>
      <c r="O5" s="8">
        <f>SUM(JVPA!O52)</f>
        <v>1923900535</v>
      </c>
      <c r="P5" s="8">
        <f>SUM(JVPA!P52)</f>
        <v>2145563766</v>
      </c>
      <c r="Q5" s="8">
        <f>SUM(JVPA!Q52)</f>
        <v>2414111769</v>
      </c>
      <c r="R5" s="8">
        <f>SUM(JVPA!R52)</f>
        <v>2658359176</v>
      </c>
      <c r="S5" s="8">
        <f>SUM(JVPA!S52)</f>
        <v>2746933234</v>
      </c>
      <c r="T5" s="8">
        <f>SUM(JVPA!T52)</f>
        <v>2927013977</v>
      </c>
      <c r="U5" s="8">
        <f>SUM(JVPA!U52)</f>
        <v>3274653462</v>
      </c>
      <c r="V5" s="8">
        <f>SUM(JVPA!V52)</f>
        <v>3771766283</v>
      </c>
      <c r="W5" s="8">
        <f>SUM(JVPA!W52)</f>
        <v>4378384235</v>
      </c>
      <c r="X5" s="8">
        <f>SUM(JVPA!X52)</f>
        <v>4699769958</v>
      </c>
      <c r="Y5" s="8">
        <f t="shared" ref="Y5:Z8" si="1">SUM(X5-(X5*0.05))</f>
        <v>4464781460.1000004</v>
      </c>
      <c r="Z5" s="8">
        <f t="shared" si="1"/>
        <v>4241542387.0950003</v>
      </c>
      <c r="AA5" s="8">
        <f t="shared" ref="AA5:AA8" si="2">SUM(Z5-(Z5*0.03))</f>
        <v>4114296115.4821501</v>
      </c>
      <c r="AB5" s="8">
        <f t="shared" ref="AB5:AB8" si="3">SUM(AA5)</f>
        <v>4114296115.4821501</v>
      </c>
      <c r="AC5" s="8">
        <f t="shared" ref="AC5:AH8" si="4">SUM(AB5+(AB5*0.02))</f>
        <v>4196582037.7917929</v>
      </c>
      <c r="AD5" s="8">
        <f t="shared" si="4"/>
        <v>4280513678.5476289</v>
      </c>
      <c r="AE5" s="8">
        <f t="shared" si="4"/>
        <v>4366123952.1185818</v>
      </c>
      <c r="AF5" s="8">
        <f t="shared" si="4"/>
        <v>4453446431.1609535</v>
      </c>
      <c r="AG5" s="8">
        <f t="shared" si="4"/>
        <v>4542515359.784173</v>
      </c>
      <c r="AH5" s="8">
        <f t="shared" si="4"/>
        <v>4633365666.9798565</v>
      </c>
      <c r="AI5" s="8"/>
    </row>
    <row r="6" spans="1:35" s="7" customFormat="1">
      <c r="A6" s="7" t="s">
        <v>68</v>
      </c>
      <c r="B6" s="8">
        <f>SUM(MCPA!B46)</f>
        <v>43556959</v>
      </c>
      <c r="C6" s="8">
        <f>SUM(MCPA!C46)</f>
        <v>49352561</v>
      </c>
      <c r="D6" s="8">
        <f>SUM(MCPA!D46)</f>
        <v>58952461</v>
      </c>
      <c r="E6" s="8">
        <f>SUM(MCPA!E46)</f>
        <v>88171139</v>
      </c>
      <c r="F6" s="8">
        <f>SUM(MCPA!F46)</f>
        <v>110496357</v>
      </c>
      <c r="G6" s="8">
        <f>SUM(MCPA!G46)</f>
        <v>126182293</v>
      </c>
      <c r="H6" s="8">
        <f>SUM(MCPA!H46)</f>
        <v>165529586</v>
      </c>
      <c r="I6" s="8">
        <f>SUM(MCPA!I46)</f>
        <v>169440456</v>
      </c>
      <c r="J6" s="8">
        <f>SUM(MCPA!J46)</f>
        <v>226126132</v>
      </c>
      <c r="K6" s="8">
        <f>SUM(MCPA!K46)</f>
        <v>207776809</v>
      </c>
      <c r="L6" s="8">
        <f>SUM(MCPA!L46)</f>
        <v>208771178</v>
      </c>
      <c r="M6" s="8">
        <f>SUM(MCPA!M46)</f>
        <v>260182802</v>
      </c>
      <c r="N6" s="8">
        <f>SUM(MCPA!N46)</f>
        <v>316358198</v>
      </c>
      <c r="O6" s="8">
        <f>SUM(MCPA!O46)</f>
        <v>337998598</v>
      </c>
      <c r="P6" s="8">
        <f>SUM(MCPA!P46)</f>
        <v>326728580</v>
      </c>
      <c r="Q6" s="8">
        <f>SUM(MCPA!Q46)</f>
        <v>351937288</v>
      </c>
      <c r="R6" s="8">
        <f>SUM(MCPA!R46)</f>
        <v>362844207</v>
      </c>
      <c r="S6" s="8">
        <f>SUM(MCPA!S46)</f>
        <v>382474652</v>
      </c>
      <c r="T6" s="8">
        <f>SUM(MCPA!T46)</f>
        <v>405959121</v>
      </c>
      <c r="U6" s="8">
        <f>SUM(MCPA!U46)</f>
        <v>463872326</v>
      </c>
      <c r="V6" s="8">
        <f>SUM(MCPA!V46)</f>
        <v>528726222</v>
      </c>
      <c r="W6" s="8">
        <f>SUM(MCPA!W46)</f>
        <v>602288572</v>
      </c>
      <c r="X6" s="8">
        <f>SUM(MCPA!X46)</f>
        <v>677687908</v>
      </c>
      <c r="Y6" s="8">
        <f t="shared" si="1"/>
        <v>643803512.60000002</v>
      </c>
      <c r="Z6" s="8">
        <f t="shared" si="1"/>
        <v>611613336.97000003</v>
      </c>
      <c r="AA6" s="8">
        <f t="shared" si="2"/>
        <v>593264936.86090004</v>
      </c>
      <c r="AB6" s="8">
        <f t="shared" si="3"/>
        <v>593264936.86090004</v>
      </c>
      <c r="AC6" s="8">
        <f t="shared" si="4"/>
        <v>605130235.59811807</v>
      </c>
      <c r="AD6" s="8">
        <f t="shared" si="4"/>
        <v>617232840.31008041</v>
      </c>
      <c r="AE6" s="8">
        <f t="shared" si="4"/>
        <v>629577497.11628199</v>
      </c>
      <c r="AF6" s="8">
        <f t="shared" si="4"/>
        <v>642169047.05860758</v>
      </c>
      <c r="AG6" s="8">
        <f t="shared" si="4"/>
        <v>655012427.9997797</v>
      </c>
      <c r="AH6" s="8">
        <f t="shared" si="4"/>
        <v>668112676.55977535</v>
      </c>
      <c r="AI6" s="8"/>
    </row>
    <row r="7" spans="1:35" s="7" customFormat="1">
      <c r="A7" s="7" t="s">
        <v>69</v>
      </c>
      <c r="B7" s="8">
        <f>SUM(DCPA!B41)</f>
        <v>143939182</v>
      </c>
      <c r="C7" s="8">
        <f>SUM(DCPA!C41)</f>
        <v>166487875</v>
      </c>
      <c r="D7" s="8">
        <f>SUM(DCPA!D41)</f>
        <v>206500229</v>
      </c>
      <c r="E7" s="8">
        <f>SUM(DCPA!E41)</f>
        <v>228053969</v>
      </c>
      <c r="F7" s="8">
        <f>SUM(DCPA!F41)</f>
        <v>251118810</v>
      </c>
      <c r="G7" s="8">
        <f>SUM(DCPA!G41)</f>
        <v>283042151</v>
      </c>
      <c r="H7" s="8">
        <f>SUM(DCPA!H41)</f>
        <v>303557774</v>
      </c>
      <c r="I7" s="8">
        <f>SUM(DCPA!I41)</f>
        <v>307082308</v>
      </c>
      <c r="J7" s="8">
        <f>SUM(DCPA!J41)</f>
        <v>316443965</v>
      </c>
      <c r="K7" s="8">
        <f>SUM(DCPA!K41)</f>
        <v>332860178</v>
      </c>
      <c r="L7" s="8">
        <f>SUM(DCPA!L41)</f>
        <v>311385263</v>
      </c>
      <c r="M7" s="8">
        <f>SUM(DCPA!M41)</f>
        <v>558854329</v>
      </c>
      <c r="N7" s="8">
        <f>SUM(DCPA!N41)</f>
        <v>390858465</v>
      </c>
      <c r="O7" s="8">
        <f>SUM(DCPA!O41)</f>
        <v>430559365</v>
      </c>
      <c r="P7" s="8">
        <f>SUM(DCPA!P41)</f>
        <v>1559557735</v>
      </c>
      <c r="Q7" s="8">
        <f>SUM(DCPA!Q41)</f>
        <v>543233432</v>
      </c>
      <c r="R7" s="8">
        <f>SUM(DCPA!R41)</f>
        <v>678161603</v>
      </c>
      <c r="S7" s="8">
        <f>SUM(DCPA!S41)</f>
        <v>836008550</v>
      </c>
      <c r="T7" s="8">
        <f>SUM(DCPA!T41)</f>
        <v>970367006</v>
      </c>
      <c r="U7" s="8">
        <f>SUM(DCPA!U41)</f>
        <v>1357240494</v>
      </c>
      <c r="V7" s="8">
        <f>SUM(DCPA!V41)</f>
        <v>1986545543</v>
      </c>
      <c r="W7" s="8">
        <f>SUM(DCPA!W41)</f>
        <v>2470570675</v>
      </c>
      <c r="X7" s="8">
        <f>SUM(DCPA!X41)</f>
        <v>2764035890</v>
      </c>
      <c r="Y7" s="8">
        <f t="shared" si="1"/>
        <v>2625834095.5</v>
      </c>
      <c r="Z7" s="8">
        <f t="shared" si="1"/>
        <v>2494542390.7249999</v>
      </c>
      <c r="AA7" s="8">
        <f t="shared" si="2"/>
        <v>2419706119.0032501</v>
      </c>
      <c r="AB7" s="8">
        <f t="shared" si="3"/>
        <v>2419706119.0032501</v>
      </c>
      <c r="AC7" s="8">
        <f t="shared" si="4"/>
        <v>2468100241.3833151</v>
      </c>
      <c r="AD7" s="8">
        <f t="shared" si="4"/>
        <v>2517462246.2109814</v>
      </c>
      <c r="AE7" s="8">
        <f t="shared" si="4"/>
        <v>2567811491.135201</v>
      </c>
      <c r="AF7" s="8">
        <f t="shared" si="4"/>
        <v>2619167720.9579048</v>
      </c>
      <c r="AG7" s="8">
        <f t="shared" si="4"/>
        <v>2671551075.3770628</v>
      </c>
      <c r="AH7" s="8">
        <f t="shared" si="4"/>
        <v>2724982096.884604</v>
      </c>
      <c r="AI7" s="8"/>
    </row>
    <row r="8" spans="1:35" s="7" customFormat="1">
      <c r="A8" s="7" t="s">
        <v>70</v>
      </c>
      <c r="B8" s="10">
        <f>SUM('I-215'!B72)</f>
        <v>104890828</v>
      </c>
      <c r="C8" s="10">
        <f>SUM('I-215'!C72)</f>
        <v>136905152</v>
      </c>
      <c r="D8" s="10">
        <f>SUM('I-215'!D72)</f>
        <v>142218852</v>
      </c>
      <c r="E8" s="10">
        <f>SUM('I-215'!E72)</f>
        <v>154398146</v>
      </c>
      <c r="F8" s="10">
        <f>SUM('I-215'!F72)</f>
        <v>183592948</v>
      </c>
      <c r="G8" s="10">
        <f>SUM('I-215'!G72)</f>
        <v>221717375</v>
      </c>
      <c r="H8" s="10">
        <f>SUM('I-215'!H72)</f>
        <v>237256142</v>
      </c>
      <c r="I8" s="10">
        <f>SUM('I-215'!I72)</f>
        <v>252806065</v>
      </c>
      <c r="J8" s="10">
        <f>SUM('I-215'!J72)</f>
        <v>248158068</v>
      </c>
      <c r="K8" s="10">
        <f>SUM('I-215'!K72)</f>
        <v>249573733</v>
      </c>
      <c r="L8" s="10">
        <f>SUM('I-215'!L72)</f>
        <v>235289756</v>
      </c>
      <c r="M8" s="10">
        <f>SUM('I-215'!M72)</f>
        <v>278491194</v>
      </c>
      <c r="N8" s="10">
        <f>SUM('I-215'!N72)</f>
        <v>399182010</v>
      </c>
      <c r="O8" s="10">
        <f>SUM('I-215'!O72)</f>
        <v>412399510</v>
      </c>
      <c r="P8" s="10">
        <f>SUM('I-215'!P72)</f>
        <v>414695149</v>
      </c>
      <c r="Q8" s="10">
        <f>SUM('I-215'!Q72)</f>
        <v>618738177</v>
      </c>
      <c r="R8" s="10">
        <f>SUM('I-215'!R72)</f>
        <v>578181684</v>
      </c>
      <c r="S8" s="10">
        <f>SUM('I-215'!S72)</f>
        <v>620354281</v>
      </c>
      <c r="T8" s="10">
        <f>SUM('I-215'!T72)</f>
        <v>728460666</v>
      </c>
      <c r="U8" s="10">
        <f>SUM('I-215'!U72)</f>
        <v>973574411</v>
      </c>
      <c r="V8" s="10">
        <f>SUM('I-215'!V72)</f>
        <v>1208657645</v>
      </c>
      <c r="W8" s="10">
        <f>SUM('I-215'!W72)</f>
        <v>1690751658</v>
      </c>
      <c r="X8" s="10">
        <f>SUM('I-215'!X72)</f>
        <v>1847043094</v>
      </c>
      <c r="Y8" s="10">
        <f t="shared" si="1"/>
        <v>1754690939.3</v>
      </c>
      <c r="Z8" s="10">
        <f t="shared" si="1"/>
        <v>1666956392.335</v>
      </c>
      <c r="AA8" s="10">
        <f t="shared" si="2"/>
        <v>1616947700.56495</v>
      </c>
      <c r="AB8" s="10">
        <f t="shared" si="3"/>
        <v>1616947700.56495</v>
      </c>
      <c r="AC8" s="10">
        <f t="shared" si="4"/>
        <v>1649286654.5762489</v>
      </c>
      <c r="AD8" s="10">
        <f t="shared" si="4"/>
        <v>1682272387.667774</v>
      </c>
      <c r="AE8" s="10">
        <f t="shared" si="4"/>
        <v>1715917835.4211295</v>
      </c>
      <c r="AF8" s="10">
        <f t="shared" si="4"/>
        <v>1750236192.1295521</v>
      </c>
      <c r="AG8" s="10">
        <f t="shared" si="4"/>
        <v>1785240915.9721432</v>
      </c>
      <c r="AH8" s="10">
        <f t="shared" si="4"/>
        <v>1820945734.2915859</v>
      </c>
      <c r="AI8" s="8"/>
    </row>
    <row r="9" spans="1:35" s="7" customFormat="1">
      <c r="A9" s="18" t="s">
        <v>95</v>
      </c>
      <c r="B9" s="8">
        <f>SUM(B4:B8)</f>
        <v>337780029</v>
      </c>
      <c r="C9" s="8">
        <f t="shared" ref="C9:X9" si="5">SUM(C4:C8)</f>
        <v>461969751</v>
      </c>
      <c r="D9" s="8">
        <f t="shared" si="5"/>
        <v>592454579</v>
      </c>
      <c r="E9" s="8">
        <f t="shared" si="5"/>
        <v>776649801</v>
      </c>
      <c r="F9" s="8">
        <f t="shared" si="5"/>
        <v>943049656</v>
      </c>
      <c r="G9" s="8">
        <f t="shared" si="5"/>
        <v>1109875083</v>
      </c>
      <c r="H9" s="8">
        <f t="shared" si="5"/>
        <v>1304882157</v>
      </c>
      <c r="I9" s="8">
        <f t="shared" si="5"/>
        <v>1347894154</v>
      </c>
      <c r="J9" s="8">
        <f t="shared" si="5"/>
        <v>1371576850</v>
      </c>
      <c r="K9" s="8">
        <f t="shared" si="5"/>
        <v>1454998587</v>
      </c>
      <c r="L9" s="8">
        <f t="shared" si="5"/>
        <v>2344219827</v>
      </c>
      <c r="M9" s="8">
        <f t="shared" si="5"/>
        <v>2709226706</v>
      </c>
      <c r="N9" s="8">
        <f t="shared" si="5"/>
        <v>3168867990</v>
      </c>
      <c r="O9" s="8">
        <f t="shared" si="5"/>
        <v>3600293490</v>
      </c>
      <c r="P9" s="8">
        <f t="shared" si="5"/>
        <v>4960403927</v>
      </c>
      <c r="Q9" s="8">
        <f t="shared" si="5"/>
        <v>4473321554</v>
      </c>
      <c r="R9" s="8">
        <f t="shared" si="5"/>
        <v>4898932537</v>
      </c>
      <c r="S9" s="8">
        <f t="shared" si="5"/>
        <v>5263020177</v>
      </c>
      <c r="T9" s="8">
        <f t="shared" si="5"/>
        <v>5841461456</v>
      </c>
      <c r="U9" s="8">
        <f t="shared" si="5"/>
        <v>7088410417</v>
      </c>
      <c r="V9" s="8">
        <f t="shared" si="5"/>
        <v>8753694978</v>
      </c>
      <c r="W9" s="8">
        <f t="shared" si="5"/>
        <v>10546710266</v>
      </c>
      <c r="X9" s="8">
        <f t="shared" si="5"/>
        <v>11435920155</v>
      </c>
      <c r="Y9" s="8">
        <f>SUM(Y4:Y8)</f>
        <v>10864124147.25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/>
    </row>
    <row r="10" spans="1:35" s="7" customFormat="1">
      <c r="A10" s="18" t="s">
        <v>96</v>
      </c>
      <c r="B10" s="8">
        <f>SUM(B12)</f>
        <v>337780029</v>
      </c>
      <c r="C10" s="8">
        <f>SUM(B10+C12)</f>
        <v>402605451</v>
      </c>
      <c r="D10" s="8">
        <f>SUM(C10+D12)</f>
        <v>461727379</v>
      </c>
      <c r="E10" s="8">
        <f>SUM(D10+E12)</f>
        <v>597204072</v>
      </c>
      <c r="F10" s="8">
        <f t="shared" ref="F10:K10" si="6">SUM(E10+F12)</f>
        <v>597204072</v>
      </c>
      <c r="G10" s="8">
        <f t="shared" si="6"/>
        <v>597204072</v>
      </c>
      <c r="H10" s="8">
        <f t="shared" si="6"/>
        <v>597204072</v>
      </c>
      <c r="I10" s="8">
        <f t="shared" si="6"/>
        <v>597204072</v>
      </c>
      <c r="J10" s="8">
        <f t="shared" si="6"/>
        <v>597204072</v>
      </c>
      <c r="K10" s="8">
        <f t="shared" si="6"/>
        <v>597204072</v>
      </c>
      <c r="L10" s="8">
        <f>SUM(K10+L12)</f>
        <v>1467723806</v>
      </c>
      <c r="M10" s="8">
        <f>SUM(L10+M12)</f>
        <v>1467723806</v>
      </c>
      <c r="N10" s="8">
        <f>SUM(M10+N12)</f>
        <v>2141175290</v>
      </c>
      <c r="O10" s="8">
        <f t="shared" ref="O10:P10" si="7">SUM(N10+O12)</f>
        <v>2141175290</v>
      </c>
      <c r="P10" s="8">
        <f t="shared" si="7"/>
        <v>2141175290</v>
      </c>
      <c r="Q10" s="8">
        <f>SUM(P10+Q12)</f>
        <v>2322277564</v>
      </c>
      <c r="R10" s="8">
        <f t="shared" ref="R10:T10" si="8">SUM(Q10+R12)</f>
        <v>2322277564</v>
      </c>
      <c r="S10" s="8">
        <f t="shared" si="8"/>
        <v>2322277564</v>
      </c>
      <c r="T10" s="8">
        <f t="shared" si="8"/>
        <v>2322277564</v>
      </c>
      <c r="U10" s="8">
        <f>SUM(T10+U12)</f>
        <v>2409796825</v>
      </c>
      <c r="V10" s="8">
        <f t="shared" ref="V10:X10" si="9">SUM(U10+V12)</f>
        <v>2409796825</v>
      </c>
      <c r="W10" s="8">
        <f t="shared" si="9"/>
        <v>2409796825</v>
      </c>
      <c r="X10" s="8">
        <f t="shared" si="9"/>
        <v>3070515825</v>
      </c>
      <c r="Y10" s="8">
        <f t="shared" ref="Y10" si="10">SUM(X10+Y12)</f>
        <v>3070515825</v>
      </c>
      <c r="Z10" s="8">
        <f t="shared" ref="Z10" si="11">SUM(Y10+Z12)</f>
        <v>3070515825</v>
      </c>
      <c r="AA10" s="8">
        <f t="shared" ref="AA10" si="12">SUM(Z10+AA12)</f>
        <v>3070515825</v>
      </c>
      <c r="AB10" s="8">
        <f t="shared" ref="AB10" si="13">SUM(AA10+AB12)</f>
        <v>3070515825</v>
      </c>
      <c r="AC10" s="8">
        <f t="shared" ref="AC10" si="14">SUM(AB10+AC12)</f>
        <v>3070515825</v>
      </c>
      <c r="AD10" s="8">
        <f t="shared" ref="AD10" si="15">SUM(AC10+AD12)</f>
        <v>3070515825</v>
      </c>
      <c r="AE10" s="8">
        <f t="shared" ref="AE10" si="16">SUM(AD10+AE12)</f>
        <v>3070515825</v>
      </c>
      <c r="AF10" s="8">
        <f t="shared" ref="AF10" si="17">SUM(AE10+AF12)</f>
        <v>3070515825</v>
      </c>
      <c r="AG10" s="8">
        <f t="shared" ref="AG10" si="18">SUM(AF10+AG12)</f>
        <v>3070515825</v>
      </c>
      <c r="AH10" s="8">
        <f t="shared" ref="AH10" si="19">SUM(AG10+AH12)</f>
        <v>3070515825</v>
      </c>
      <c r="AI10" s="8"/>
    </row>
    <row r="11" spans="1:35" s="7" customFormat="1">
      <c r="A11" s="1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s="8" customFormat="1">
      <c r="A12" s="24" t="s">
        <v>71</v>
      </c>
      <c r="B12" s="8">
        <f>SUM('BASE YEAR'!B9)</f>
        <v>337780029</v>
      </c>
      <c r="C12" s="8">
        <f>SUM('BASE YEAR'!C9)</f>
        <v>64825422</v>
      </c>
      <c r="D12" s="8">
        <f>SUM('BASE YEAR'!D9)</f>
        <v>59121928</v>
      </c>
      <c r="E12" s="8">
        <f>SUM('BASE YEAR'!E9)</f>
        <v>135476693</v>
      </c>
      <c r="F12" s="8">
        <f>SUM('BASE YEAR'!F9)</f>
        <v>0</v>
      </c>
      <c r="G12" s="8">
        <f>SUM('BASE YEAR'!G9)</f>
        <v>0</v>
      </c>
      <c r="H12" s="8">
        <f>SUM('BASE YEAR'!H9)</f>
        <v>0</v>
      </c>
      <c r="I12" s="8">
        <f>SUM('BASE YEAR'!I9)</f>
        <v>0</v>
      </c>
      <c r="J12" s="8">
        <f>SUM('BASE YEAR'!J9)</f>
        <v>0</v>
      </c>
      <c r="K12" s="8">
        <f>SUM('BASE YEAR'!K9)</f>
        <v>0</v>
      </c>
      <c r="L12" s="8">
        <f>SUM('BASE YEAR'!L9)</f>
        <v>870519734</v>
      </c>
      <c r="M12" s="8">
        <f>SUM('BASE YEAR'!M9)</f>
        <v>0</v>
      </c>
      <c r="N12" s="8">
        <f>SUM('BASE YEAR'!N9)</f>
        <v>673451484</v>
      </c>
      <c r="O12" s="8">
        <f>SUM('BASE YEAR'!O9)</f>
        <v>0</v>
      </c>
      <c r="P12" s="8">
        <f>SUM('BASE YEAR'!P9)</f>
        <v>0</v>
      </c>
      <c r="Q12" s="8">
        <f>SUM('BASE YEAR'!Q9)</f>
        <v>181102274</v>
      </c>
      <c r="R12" s="8">
        <f>SUM('BASE YEAR'!R9)</f>
        <v>0</v>
      </c>
      <c r="S12" s="8">
        <f>SUM('BASE YEAR'!S9)</f>
        <v>0</v>
      </c>
      <c r="T12" s="8">
        <f>SUM('BASE YEAR'!T9)</f>
        <v>0</v>
      </c>
      <c r="U12" s="8">
        <f>SUM('BASE YEAR'!U9)</f>
        <v>87519261</v>
      </c>
      <c r="V12" s="8">
        <f>SUM('BASE YEAR'!V9)</f>
        <v>0</v>
      </c>
      <c r="W12" s="8">
        <f>SUM('BASE YEAR'!W9)</f>
        <v>0</v>
      </c>
      <c r="X12" s="8">
        <f>SUM(32875000+108518000+126826000+84492000+306357000+1651000)</f>
        <v>660719000</v>
      </c>
    </row>
    <row r="13" spans="1:35" s="7" customFormat="1"/>
    <row r="14" spans="1:35" s="7" customFormat="1">
      <c r="A14" s="18" t="s">
        <v>117</v>
      </c>
      <c r="Y14" s="8">
        <v>10864124147.25</v>
      </c>
      <c r="Z14" s="8">
        <v>10320917939.887501</v>
      </c>
      <c r="AA14" s="8">
        <v>10011290401.690876</v>
      </c>
      <c r="AB14" s="8">
        <v>10011290401.690876</v>
      </c>
      <c r="AC14" s="8">
        <v>10211516209.724691</v>
      </c>
      <c r="AD14" s="8">
        <v>10415746533.919186</v>
      </c>
      <c r="AE14" s="8">
        <v>10624061464.59757</v>
      </c>
      <c r="AF14" s="8">
        <v>10836542693.889523</v>
      </c>
      <c r="AG14" s="8">
        <v>11053273547.767313</v>
      </c>
      <c r="AH14" s="8">
        <v>11274339018.722658</v>
      </c>
    </row>
    <row r="15" spans="1:35" s="7" customFormat="1"/>
    <row r="16" spans="1:35" s="7" customFormat="1" ht="14.25" customHeight="1"/>
    <row r="17" spans="2:2">
      <c r="B17" s="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X16"/>
  <sheetViews>
    <sheetView topLeftCell="W1" workbookViewId="0">
      <selection activeCell="C8" sqref="C8:X8"/>
    </sheetView>
  </sheetViews>
  <sheetFormatPr defaultRowHeight="15"/>
  <cols>
    <col min="1" max="1" width="29" customWidth="1"/>
    <col min="2" max="24" width="19.7109375" customWidth="1"/>
  </cols>
  <sheetData>
    <row r="3" spans="1:24">
      <c r="B3" s="6" t="s">
        <v>72</v>
      </c>
      <c r="C3" s="6" t="s">
        <v>73</v>
      </c>
      <c r="D3" s="6" t="s">
        <v>74</v>
      </c>
      <c r="E3" s="6" t="s">
        <v>75</v>
      </c>
      <c r="F3" s="6" t="s">
        <v>76</v>
      </c>
      <c r="G3" s="6" t="s">
        <v>77</v>
      </c>
      <c r="H3" s="6" t="s">
        <v>78</v>
      </c>
      <c r="I3" s="6" t="s">
        <v>79</v>
      </c>
      <c r="J3" s="6" t="s">
        <v>80</v>
      </c>
      <c r="K3" s="6" t="s">
        <v>81</v>
      </c>
      <c r="L3" s="6" t="s">
        <v>82</v>
      </c>
      <c r="M3" s="6" t="s">
        <v>83</v>
      </c>
      <c r="N3" s="6" t="s">
        <v>84</v>
      </c>
      <c r="O3" s="6" t="s">
        <v>85</v>
      </c>
      <c r="P3" s="6" t="s">
        <v>86</v>
      </c>
      <c r="Q3" s="22" t="s">
        <v>87</v>
      </c>
      <c r="R3" s="6" t="s">
        <v>88</v>
      </c>
      <c r="S3" s="6" t="s">
        <v>89</v>
      </c>
      <c r="T3" s="23" t="s">
        <v>90</v>
      </c>
      <c r="U3" s="23" t="s">
        <v>91</v>
      </c>
      <c r="V3" s="23" t="s">
        <v>92</v>
      </c>
      <c r="W3" s="22" t="s">
        <v>93</v>
      </c>
      <c r="X3" s="23" t="s">
        <v>94</v>
      </c>
    </row>
    <row r="4" spans="1:24" s="7" customFormat="1">
      <c r="A4" s="19" t="s">
        <v>66</v>
      </c>
      <c r="B4" s="21">
        <f>SUM('1-1986'!B31)</f>
        <v>24961646</v>
      </c>
      <c r="C4" s="21">
        <f>SUM('1-1986'!C31)</f>
        <v>0</v>
      </c>
      <c r="D4" s="21">
        <f>SUM('1-1986'!D31)</f>
        <v>0</v>
      </c>
      <c r="E4" s="21">
        <f>SUM('1-1986'!E31)</f>
        <v>0</v>
      </c>
      <c r="F4" s="21">
        <f>SUM('1-1986'!F31)</f>
        <v>0</v>
      </c>
      <c r="G4" s="21">
        <f>SUM('1-1986'!G31)</f>
        <v>0</v>
      </c>
      <c r="H4" s="21">
        <f>SUM('1-1986'!H31)</f>
        <v>0</v>
      </c>
      <c r="I4" s="21">
        <f>SUM('1-1986'!I31)</f>
        <v>0</v>
      </c>
      <c r="J4" s="21">
        <f>SUM('1-1986'!J31)</f>
        <v>0</v>
      </c>
      <c r="K4" s="21">
        <f>SUM('1-1986'!K31)</f>
        <v>0</v>
      </c>
      <c r="L4" s="21">
        <f>SUM('1-1986'!L31)</f>
        <v>0</v>
      </c>
      <c r="M4" s="21">
        <f>SUM('1-1986'!M31)</f>
        <v>0</v>
      </c>
      <c r="N4" s="21">
        <f>SUM('1-1986'!N31)</f>
        <v>421639636</v>
      </c>
      <c r="O4" s="21">
        <f>SUM('1-1986'!O31)</f>
        <v>0</v>
      </c>
      <c r="P4" s="21">
        <f>SUM('1-1986'!P31)</f>
        <v>0</v>
      </c>
      <c r="Q4" s="21">
        <f>SUM('1-1986'!Q31)</f>
        <v>0</v>
      </c>
      <c r="R4" s="21">
        <f>SUM('1-1986'!R31)</f>
        <v>0</v>
      </c>
      <c r="S4" s="21">
        <f>SUM('1-1986'!S31)</f>
        <v>0</v>
      </c>
      <c r="T4" s="21">
        <f>SUM('1-1986'!T31)</f>
        <v>0</v>
      </c>
      <c r="U4" s="21">
        <f>SUM('1-1986'!U31)</f>
        <v>0</v>
      </c>
      <c r="V4" s="21">
        <f>SUM('1-1986'!V31)</f>
        <v>0</v>
      </c>
      <c r="W4" s="21">
        <f>SUM('1-1986'!W31)</f>
        <v>0</v>
      </c>
      <c r="X4" s="21">
        <f>SUM('1-1986'!X31)</f>
        <v>0</v>
      </c>
    </row>
    <row r="5" spans="1:24" s="7" customFormat="1">
      <c r="A5" s="7" t="s">
        <v>67</v>
      </c>
      <c r="B5" s="8">
        <f>SUM(JVPA!B67)</f>
        <v>20431414</v>
      </c>
      <c r="C5" s="8">
        <f>SUM(JVPA!C67)</f>
        <v>56713803</v>
      </c>
      <c r="D5" s="8">
        <f>SUM(JVPA!D67)</f>
        <v>47687574</v>
      </c>
      <c r="E5" s="8">
        <f>SUM(JVPA!E67)</f>
        <v>106259310</v>
      </c>
      <c r="F5" s="8">
        <f>SUM(JVPA!F67)</f>
        <v>0</v>
      </c>
      <c r="G5" s="8">
        <f>SUM(JVPA!G67)</f>
        <v>0</v>
      </c>
      <c r="H5" s="8">
        <f>SUM(JVPA!H67)</f>
        <v>0</v>
      </c>
      <c r="I5" s="8">
        <f>SUM(JVPA!I67)</f>
        <v>0</v>
      </c>
      <c r="J5" s="8">
        <f>SUM(JVPA!J67)</f>
        <v>0</v>
      </c>
      <c r="K5" s="8">
        <f>SUM(JVPA!K67)</f>
        <v>0</v>
      </c>
      <c r="L5" s="8">
        <f>SUM(JVPA!L67)</f>
        <v>870519734</v>
      </c>
      <c r="M5" s="8">
        <f>SUM(JVPA!M67)</f>
        <v>0</v>
      </c>
      <c r="N5" s="8">
        <f>SUM(JVPA!N67)</f>
        <v>0</v>
      </c>
      <c r="O5" s="8">
        <f>SUM(JVPA!O67)</f>
        <v>0</v>
      </c>
      <c r="P5" s="8">
        <f>SUM(JVPA!P67)</f>
        <v>0</v>
      </c>
      <c r="Q5" s="8">
        <f>SUM(JVPA!Q67)</f>
        <v>0</v>
      </c>
      <c r="R5" s="8">
        <f>SUM(JVPA!R67)</f>
        <v>0</v>
      </c>
      <c r="S5" s="8">
        <f>SUM(JVPA!S67)</f>
        <v>0</v>
      </c>
      <c r="T5" s="8">
        <f>SUM(JVPA!T67)</f>
        <v>0</v>
      </c>
      <c r="U5" s="8">
        <f>SUM(JVPA!U67)</f>
        <v>0</v>
      </c>
      <c r="V5" s="8">
        <f>SUM(JVPA!V67)</f>
        <v>0</v>
      </c>
      <c r="W5" s="8">
        <f>SUM(JVPA!W67)</f>
        <v>0</v>
      </c>
      <c r="X5" s="8">
        <f>SUM(JVPA!X67)</f>
        <v>0</v>
      </c>
    </row>
    <row r="6" spans="1:24" s="7" customFormat="1">
      <c r="A6" s="7" t="s">
        <v>68</v>
      </c>
      <c r="B6" s="8">
        <f>SUM(MCPA!B60)</f>
        <v>43556959</v>
      </c>
      <c r="C6" s="8">
        <f>SUM(MCPA!C60)</f>
        <v>1801302</v>
      </c>
      <c r="D6" s="8">
        <f>SUM(MCPA!D60)</f>
        <v>0</v>
      </c>
      <c r="E6" s="8">
        <f>SUM(MCPA!E60)</f>
        <v>21685741</v>
      </c>
      <c r="F6" s="8">
        <f>SUM(MCPA!F60)</f>
        <v>0</v>
      </c>
      <c r="G6" s="8">
        <f>SUM(MCPA!G60)</f>
        <v>0</v>
      </c>
      <c r="H6" s="8">
        <f>SUM(MCPA!H60)</f>
        <v>0</v>
      </c>
      <c r="I6" s="8">
        <f>SUM(MCPA!I60)</f>
        <v>0</v>
      </c>
      <c r="J6" s="8">
        <f>SUM(MCPA!J60)</f>
        <v>0</v>
      </c>
      <c r="K6" s="8">
        <f>SUM(MCPA!K60)</f>
        <v>0</v>
      </c>
      <c r="L6" s="8">
        <f>SUM(MCPA!L60)</f>
        <v>0</v>
      </c>
      <c r="M6" s="8">
        <f>SUM(MCPA!M60)</f>
        <v>0</v>
      </c>
      <c r="N6" s="8">
        <f>SUM(MCPA!N60)</f>
        <v>59979196</v>
      </c>
      <c r="O6" s="8">
        <f>SUM(MCPA!O60)</f>
        <v>0</v>
      </c>
      <c r="P6" s="8">
        <f>SUM(MCPA!P60)</f>
        <v>0</v>
      </c>
      <c r="Q6" s="8">
        <f>SUM(MCPA!Q60)</f>
        <v>0</v>
      </c>
      <c r="R6" s="8">
        <f>SUM(MCPA!R60)</f>
        <v>0</v>
      </c>
      <c r="S6" s="8">
        <f>SUM(MCPA!S60)</f>
        <v>0</v>
      </c>
      <c r="T6" s="8">
        <f>SUM(MCPA!T60)</f>
        <v>0</v>
      </c>
      <c r="U6" s="8">
        <f>SUM(MCPA!U60)</f>
        <v>0</v>
      </c>
      <c r="V6" s="8">
        <f>SUM(MCPA!V60)</f>
        <v>0</v>
      </c>
      <c r="W6" s="8">
        <f>SUM(MCPA!W60)</f>
        <v>0</v>
      </c>
      <c r="X6" s="8">
        <f>SUM(MCPA!X60)</f>
        <v>0</v>
      </c>
    </row>
    <row r="7" spans="1:24" s="7" customFormat="1">
      <c r="A7" s="7" t="s">
        <v>69</v>
      </c>
      <c r="B7" s="8">
        <f>SUM(DCPA!B55)</f>
        <v>143939182</v>
      </c>
      <c r="C7" s="8">
        <f>SUM(DCPA!C55)</f>
        <v>4273393</v>
      </c>
      <c r="D7" s="8">
        <f>SUM(DCPA!D55)</f>
        <v>11434354</v>
      </c>
      <c r="E7" s="8">
        <f>SUM(DCPA!E55)</f>
        <v>0</v>
      </c>
      <c r="F7" s="8">
        <f>SUM(DCPA!F55)</f>
        <v>0</v>
      </c>
      <c r="G7" s="8">
        <f>SUM(DCPA!G55)</f>
        <v>0</v>
      </c>
      <c r="H7" s="8">
        <f>SUM(DCPA!H55)</f>
        <v>0</v>
      </c>
      <c r="I7" s="8">
        <f>SUM(DCPA!I55)</f>
        <v>0</v>
      </c>
      <c r="J7" s="8">
        <f>SUM(DCPA!J55)</f>
        <v>0</v>
      </c>
      <c r="K7" s="8">
        <f>SUM(DCPA!K55)</f>
        <v>0</v>
      </c>
      <c r="L7" s="8">
        <f>SUM(DCPA!L55)</f>
        <v>0</v>
      </c>
      <c r="M7" s="8">
        <f>SUM(DCPA!M55)</f>
        <v>0</v>
      </c>
      <c r="N7" s="8">
        <f>SUM(DCPA!N55)</f>
        <v>60770636</v>
      </c>
      <c r="O7" s="8">
        <f>SUM(DCPA!O55)</f>
        <v>0</v>
      </c>
      <c r="P7" s="8">
        <f>SUM(DCPA!P55)</f>
        <v>0</v>
      </c>
      <c r="Q7" s="8">
        <f>SUM(DCPA!Q55)</f>
        <v>0</v>
      </c>
      <c r="R7" s="8">
        <f>SUM(DCPA!R55)</f>
        <v>0</v>
      </c>
      <c r="S7" s="8">
        <f>SUM(DCPA!S55)</f>
        <v>0</v>
      </c>
      <c r="T7" s="8">
        <f>SUM(DCPA!T55)</f>
        <v>0</v>
      </c>
      <c r="U7" s="8">
        <f>SUM(DCPA!U55)</f>
        <v>0</v>
      </c>
      <c r="V7" s="8">
        <f>SUM(DCPA!V55)</f>
        <v>0</v>
      </c>
      <c r="W7" s="8">
        <f>SUM(DCPA!W55)</f>
        <v>0</v>
      </c>
      <c r="X7" s="8">
        <f>SUM(DCPA!X55)</f>
        <v>0</v>
      </c>
    </row>
    <row r="8" spans="1:24" s="7" customFormat="1">
      <c r="A8" s="7" t="s">
        <v>70</v>
      </c>
      <c r="B8" s="10">
        <f>SUM('I-215'!B86)</f>
        <v>104890828</v>
      </c>
      <c r="C8" s="10">
        <f>SUM('I-215'!C86)</f>
        <v>2036924</v>
      </c>
      <c r="D8" s="10">
        <f>SUM('I-215'!D86)</f>
        <v>0</v>
      </c>
      <c r="E8" s="10">
        <f>SUM('I-215'!E86)</f>
        <v>7531642</v>
      </c>
      <c r="F8" s="10">
        <f>SUM('I-215'!F86)</f>
        <v>0</v>
      </c>
      <c r="G8" s="10">
        <f>SUM('I-215'!G86)</f>
        <v>0</v>
      </c>
      <c r="H8" s="10">
        <f>SUM('I-215'!H86)</f>
        <v>0</v>
      </c>
      <c r="I8" s="10">
        <f>SUM('I-215'!I86)</f>
        <v>0</v>
      </c>
      <c r="J8" s="10">
        <f>SUM('I-215'!J86)</f>
        <v>0</v>
      </c>
      <c r="K8" s="10">
        <f>SUM('I-215'!K86)</f>
        <v>0</v>
      </c>
      <c r="L8" s="10">
        <f>SUM('I-215'!L86)</f>
        <v>0</v>
      </c>
      <c r="M8" s="10">
        <f>SUM('I-215'!M86)</f>
        <v>0</v>
      </c>
      <c r="N8" s="10">
        <f>SUM('I-215'!N86)</f>
        <v>131062016</v>
      </c>
      <c r="O8" s="10">
        <f>SUM('I-215'!O86)</f>
        <v>0</v>
      </c>
      <c r="P8" s="10">
        <f>SUM('I-215'!P86)</f>
        <v>0</v>
      </c>
      <c r="Q8" s="10">
        <f>SUM('I-215'!Q86)</f>
        <v>181102274</v>
      </c>
      <c r="R8" s="10">
        <f>SUM('I-215'!R86)</f>
        <v>0</v>
      </c>
      <c r="S8" s="10">
        <f>SUM('I-215'!S86)</f>
        <v>0</v>
      </c>
      <c r="T8" s="10">
        <f>SUM('I-215'!T86)</f>
        <v>0</v>
      </c>
      <c r="U8" s="10">
        <f>SUM('I-215'!U86)</f>
        <v>87519261</v>
      </c>
      <c r="V8" s="10">
        <f>SUM('I-215'!V86)</f>
        <v>0</v>
      </c>
      <c r="W8" s="10">
        <f>SUM('I-215'!W86)</f>
        <v>0</v>
      </c>
      <c r="X8" s="10">
        <f>SUM('I-215'!X86)</f>
        <v>0</v>
      </c>
    </row>
    <row r="9" spans="1:24" s="7" customFormat="1">
      <c r="A9" s="18" t="s">
        <v>96</v>
      </c>
      <c r="B9" s="8">
        <f>SUM(B4:B8)</f>
        <v>337780029</v>
      </c>
      <c r="C9" s="8">
        <f t="shared" ref="C9:X9" si="0">SUM(C4:C8)</f>
        <v>64825422</v>
      </c>
      <c r="D9" s="8">
        <f t="shared" si="0"/>
        <v>59121928</v>
      </c>
      <c r="E9" s="8">
        <f t="shared" si="0"/>
        <v>135476693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870519734</v>
      </c>
      <c r="M9" s="8">
        <f t="shared" si="0"/>
        <v>0</v>
      </c>
      <c r="N9" s="8">
        <f t="shared" si="0"/>
        <v>673451484</v>
      </c>
      <c r="O9" s="8">
        <f t="shared" si="0"/>
        <v>0</v>
      </c>
      <c r="P9" s="8">
        <f t="shared" si="0"/>
        <v>0</v>
      </c>
      <c r="Q9" s="8">
        <f t="shared" si="0"/>
        <v>181102274</v>
      </c>
      <c r="R9" s="8">
        <f t="shared" si="0"/>
        <v>0</v>
      </c>
      <c r="S9" s="8">
        <f t="shared" si="0"/>
        <v>0</v>
      </c>
      <c r="T9" s="8">
        <f t="shared" si="0"/>
        <v>0</v>
      </c>
      <c r="U9" s="8">
        <f t="shared" si="0"/>
        <v>87519261</v>
      </c>
      <c r="V9" s="8">
        <f t="shared" si="0"/>
        <v>0</v>
      </c>
      <c r="W9" s="8">
        <f t="shared" si="0"/>
        <v>0</v>
      </c>
      <c r="X9" s="8">
        <f t="shared" si="0"/>
        <v>0</v>
      </c>
    </row>
    <row r="10" spans="1:24" s="7" customFormat="1">
      <c r="A10" s="1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s="8" customFormat="1">
      <c r="A11" s="24" t="s">
        <v>71</v>
      </c>
    </row>
    <row r="12" spans="1:24" s="7" customFormat="1"/>
    <row r="13" spans="1:24" s="7" customFormat="1"/>
    <row r="14" spans="1:24" s="7" customFormat="1"/>
    <row r="15" spans="1:24" s="7" customFormat="1"/>
    <row r="16" spans="1:24">
      <c r="B16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X31"/>
  <sheetViews>
    <sheetView topLeftCell="A13" workbookViewId="0">
      <selection activeCell="A29" sqref="A29:XFD31"/>
    </sheetView>
  </sheetViews>
  <sheetFormatPr defaultRowHeight="15"/>
  <cols>
    <col min="1" max="1" width="22.5703125" customWidth="1"/>
    <col min="2" max="24" width="13.28515625" customWidth="1"/>
  </cols>
  <sheetData>
    <row r="3" spans="1:24"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5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5" t="s">
        <v>24</v>
      </c>
      <c r="X3" s="6" t="s">
        <v>23</v>
      </c>
    </row>
    <row r="4" spans="1:24">
      <c r="B4" s="15"/>
      <c r="C4" s="32">
        <v>1413400</v>
      </c>
      <c r="D4" s="32">
        <f>SUM(79777/0.01)</f>
        <v>7977700</v>
      </c>
      <c r="E4" s="32">
        <f>SUM(115555/0.01)</f>
        <v>11555500</v>
      </c>
      <c r="F4" s="32">
        <f>SUM(163990/0.01)</f>
        <v>16399000</v>
      </c>
      <c r="G4" s="32">
        <f>SUM(179943/0.01)</f>
        <v>17994300</v>
      </c>
      <c r="H4" s="33"/>
      <c r="I4" s="33"/>
      <c r="J4" s="33"/>
      <c r="K4" s="33"/>
      <c r="L4" s="33"/>
      <c r="M4" s="33"/>
      <c r="N4" s="33"/>
      <c r="O4" s="33"/>
      <c r="P4" s="15"/>
      <c r="Q4" s="16"/>
      <c r="R4" s="17"/>
      <c r="S4" s="17"/>
      <c r="T4" s="17"/>
      <c r="U4" s="13"/>
      <c r="V4" s="13"/>
      <c r="W4" s="12"/>
      <c r="X4" s="13"/>
    </row>
    <row r="5" spans="1:24">
      <c r="A5" s="7" t="s">
        <v>42</v>
      </c>
      <c r="B5" s="28">
        <v>14318687</v>
      </c>
      <c r="C5" s="32"/>
      <c r="D5" s="34"/>
      <c r="E5" s="34"/>
      <c r="F5" s="34"/>
      <c r="G5" s="34"/>
      <c r="H5" s="32">
        <f>SUM(83510/0.01)</f>
        <v>8351000</v>
      </c>
      <c r="I5" s="32"/>
      <c r="J5" s="32">
        <f>SUM(90978/0.01)</f>
        <v>9097800</v>
      </c>
      <c r="K5" s="32">
        <f>SUM(100063/0.01)</f>
        <v>10006300</v>
      </c>
      <c r="L5" s="32">
        <v>14738000</v>
      </c>
      <c r="M5" s="32">
        <v>10879800</v>
      </c>
      <c r="N5" s="32">
        <v>14552200</v>
      </c>
      <c r="O5" s="32">
        <v>32805100</v>
      </c>
      <c r="P5" s="8">
        <v>34813993</v>
      </c>
      <c r="Q5" s="8">
        <v>43378327</v>
      </c>
      <c r="R5" s="8">
        <v>56536775</v>
      </c>
      <c r="S5" s="8">
        <v>59521625</v>
      </c>
      <c r="T5" s="8">
        <v>67525276</v>
      </c>
      <c r="U5" s="1">
        <v>81208093</v>
      </c>
      <c r="V5" s="1">
        <v>110498165</v>
      </c>
      <c r="W5" s="1">
        <v>103409637</v>
      </c>
      <c r="X5" s="1">
        <v>122109400</v>
      </c>
    </row>
    <row r="6" spans="1:24">
      <c r="A6" s="7" t="s">
        <v>43</v>
      </c>
      <c r="B6" s="31">
        <v>10642959</v>
      </c>
      <c r="C6" s="35"/>
      <c r="D6" s="35"/>
      <c r="E6" s="35"/>
      <c r="F6" s="35"/>
      <c r="G6" s="35"/>
      <c r="H6" s="35">
        <f>SUM(148310/0.01)</f>
        <v>14831000</v>
      </c>
      <c r="I6" s="35">
        <f>SUM(241965/0.01)</f>
        <v>24196500</v>
      </c>
      <c r="J6" s="35">
        <f>SUM(143414/0.01)</f>
        <v>14341400</v>
      </c>
      <c r="K6" s="35">
        <f>SUM(152579/0.01)</f>
        <v>15257900</v>
      </c>
      <c r="L6" s="35">
        <v>14700600</v>
      </c>
      <c r="M6" s="35">
        <v>13718300</v>
      </c>
      <c r="N6" s="35">
        <v>14162600</v>
      </c>
      <c r="O6" s="35">
        <v>16029100</v>
      </c>
      <c r="P6" s="10">
        <v>15775274</v>
      </c>
      <c r="Q6" s="10">
        <v>17984488</v>
      </c>
      <c r="R6" s="10">
        <v>22204558</v>
      </c>
      <c r="S6" s="10">
        <v>22760627</v>
      </c>
      <c r="T6" s="10">
        <v>27471233</v>
      </c>
      <c r="U6" s="2">
        <v>32536465</v>
      </c>
      <c r="V6" s="2">
        <v>47787421</v>
      </c>
      <c r="W6" s="2">
        <v>58300075</v>
      </c>
      <c r="X6" s="2">
        <v>62759187</v>
      </c>
    </row>
    <row r="7" spans="1:24" s="7" customFormat="1">
      <c r="A7" s="18" t="s">
        <v>97</v>
      </c>
      <c r="B7" s="8">
        <f>SUM(B4:B6)</f>
        <v>24961646</v>
      </c>
      <c r="C7" s="8">
        <f t="shared" ref="C7:X7" si="0">SUM(C4:C6)</f>
        <v>1413400</v>
      </c>
      <c r="D7" s="8">
        <f t="shared" si="0"/>
        <v>7977700</v>
      </c>
      <c r="E7" s="8">
        <f t="shared" si="0"/>
        <v>11555500</v>
      </c>
      <c r="F7" s="8">
        <f t="shared" si="0"/>
        <v>16399000</v>
      </c>
      <c r="G7" s="8">
        <f t="shared" si="0"/>
        <v>17994300</v>
      </c>
      <c r="H7" s="8">
        <f t="shared" si="0"/>
        <v>23182000</v>
      </c>
      <c r="I7" s="8">
        <f t="shared" si="0"/>
        <v>24196500</v>
      </c>
      <c r="J7" s="8">
        <f t="shared" si="0"/>
        <v>23439200</v>
      </c>
      <c r="K7" s="8">
        <f t="shared" si="0"/>
        <v>25264200</v>
      </c>
      <c r="L7" s="8">
        <f t="shared" si="0"/>
        <v>29438600</v>
      </c>
      <c r="M7" s="8">
        <f t="shared" si="0"/>
        <v>24598100</v>
      </c>
      <c r="N7" s="8">
        <f t="shared" si="0"/>
        <v>28714800</v>
      </c>
      <c r="O7" s="8">
        <f t="shared" si="0"/>
        <v>48834200</v>
      </c>
      <c r="P7" s="8">
        <f t="shared" si="0"/>
        <v>50589267</v>
      </c>
      <c r="Q7" s="8">
        <f t="shared" si="0"/>
        <v>61362815</v>
      </c>
      <c r="R7" s="8">
        <f t="shared" si="0"/>
        <v>78741333</v>
      </c>
      <c r="S7" s="8">
        <f t="shared" si="0"/>
        <v>82282252</v>
      </c>
      <c r="T7" s="8">
        <f t="shared" si="0"/>
        <v>94996509</v>
      </c>
      <c r="U7" s="8">
        <f t="shared" si="0"/>
        <v>113744558</v>
      </c>
      <c r="V7" s="8">
        <f t="shared" si="0"/>
        <v>158285586</v>
      </c>
      <c r="W7" s="8">
        <f t="shared" si="0"/>
        <v>161709712</v>
      </c>
      <c r="X7" s="8">
        <f t="shared" si="0"/>
        <v>184868587</v>
      </c>
    </row>
    <row r="8" spans="1:24" s="7" customFormat="1" ht="9" customHeight="1">
      <c r="A8" s="1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s="7" customFormat="1">
      <c r="A9" s="18" t="s">
        <v>98</v>
      </c>
      <c r="B9" s="8">
        <v>24961646</v>
      </c>
      <c r="C9" s="8">
        <v>24961646</v>
      </c>
      <c r="D9" s="8">
        <v>24961646</v>
      </c>
      <c r="E9" s="8">
        <v>24961646</v>
      </c>
      <c r="F9" s="8">
        <v>24961646</v>
      </c>
      <c r="G9" s="8">
        <v>24961646</v>
      </c>
      <c r="H9" s="8">
        <v>24961646</v>
      </c>
      <c r="I9" s="8">
        <v>24961646</v>
      </c>
      <c r="J9" s="8">
        <v>24961646</v>
      </c>
      <c r="K9" s="8">
        <v>24961646</v>
      </c>
      <c r="L9" s="8">
        <v>24961646</v>
      </c>
      <c r="M9" s="8">
        <v>24961646</v>
      </c>
      <c r="N9" s="8">
        <v>24961646</v>
      </c>
      <c r="O9" s="8">
        <v>24961646</v>
      </c>
      <c r="P9" s="8">
        <v>24961646</v>
      </c>
      <c r="Q9" s="8">
        <v>24961646</v>
      </c>
      <c r="R9" s="8">
        <v>24961646</v>
      </c>
      <c r="S9" s="8">
        <v>24961646</v>
      </c>
      <c r="T9" s="8">
        <v>24961646</v>
      </c>
      <c r="U9" s="8">
        <v>24961646</v>
      </c>
      <c r="V9" s="8">
        <v>24961646</v>
      </c>
      <c r="W9" s="8">
        <v>24961646</v>
      </c>
      <c r="X9" s="8">
        <v>24961646</v>
      </c>
    </row>
    <row r="10" spans="1:24" s="7" customFormat="1" ht="8.25" customHeight="1">
      <c r="A10" s="1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s="18" customFormat="1">
      <c r="A11" s="18" t="s">
        <v>100</v>
      </c>
      <c r="B11" s="24">
        <v>24961646</v>
      </c>
      <c r="C11" s="24">
        <f>SUM(C7+C9)</f>
        <v>26375046</v>
      </c>
      <c r="D11" s="24">
        <f t="shared" ref="D11:X11" si="1">SUM(D7+D9)</f>
        <v>32939346</v>
      </c>
      <c r="E11" s="24">
        <f t="shared" si="1"/>
        <v>36517146</v>
      </c>
      <c r="F11" s="24">
        <f t="shared" si="1"/>
        <v>41360646</v>
      </c>
      <c r="G11" s="24">
        <f t="shared" si="1"/>
        <v>42955946</v>
      </c>
      <c r="H11" s="24">
        <f t="shared" si="1"/>
        <v>48143646</v>
      </c>
      <c r="I11" s="24">
        <f t="shared" si="1"/>
        <v>49158146</v>
      </c>
      <c r="J11" s="24">
        <f t="shared" si="1"/>
        <v>48400846</v>
      </c>
      <c r="K11" s="24">
        <f t="shared" si="1"/>
        <v>50225846</v>
      </c>
      <c r="L11" s="24">
        <f t="shared" si="1"/>
        <v>54400246</v>
      </c>
      <c r="M11" s="24">
        <f t="shared" si="1"/>
        <v>49559746</v>
      </c>
      <c r="N11" s="24">
        <f t="shared" si="1"/>
        <v>53676446</v>
      </c>
      <c r="O11" s="24">
        <f t="shared" si="1"/>
        <v>73795846</v>
      </c>
      <c r="P11" s="24">
        <f t="shared" si="1"/>
        <v>75550913</v>
      </c>
      <c r="Q11" s="24">
        <f t="shared" si="1"/>
        <v>86324461</v>
      </c>
      <c r="R11" s="24">
        <f t="shared" si="1"/>
        <v>103702979</v>
      </c>
      <c r="S11" s="24">
        <f t="shared" si="1"/>
        <v>107243898</v>
      </c>
      <c r="T11" s="24">
        <f t="shared" si="1"/>
        <v>119958155</v>
      </c>
      <c r="U11" s="24">
        <f t="shared" si="1"/>
        <v>138706204</v>
      </c>
      <c r="V11" s="24">
        <f t="shared" si="1"/>
        <v>183247232</v>
      </c>
      <c r="W11" s="24">
        <f t="shared" si="1"/>
        <v>186671358</v>
      </c>
      <c r="X11" s="24">
        <f t="shared" si="1"/>
        <v>209830233</v>
      </c>
    </row>
    <row r="12" spans="1:24" s="7" customFormat="1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s="7" customFormat="1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ht="30">
      <c r="A14" s="25" t="s">
        <v>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28">
        <v>315246078</v>
      </c>
      <c r="O14" s="65"/>
      <c r="P14" s="8">
        <f>SUM(16668148)</f>
        <v>16668148</v>
      </c>
      <c r="Q14" s="8">
        <f>SUM(36356369)</f>
        <v>36356369</v>
      </c>
      <c r="R14" s="8">
        <f>SUM(62707048)</f>
        <v>62707048</v>
      </c>
      <c r="S14" s="8">
        <v>90638591</v>
      </c>
      <c r="T14" s="8">
        <v>149869008</v>
      </c>
      <c r="U14" s="1">
        <v>249101699</v>
      </c>
      <c r="V14" s="1">
        <v>349986646</v>
      </c>
      <c r="W14" s="1">
        <v>438295433</v>
      </c>
      <c r="X14" s="1">
        <v>413338854</v>
      </c>
    </row>
    <row r="15" spans="1:24">
      <c r="A15" t="s">
        <v>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31">
        <v>106393558</v>
      </c>
      <c r="O15" s="36"/>
      <c r="P15" s="26"/>
      <c r="Q15" s="10">
        <v>980422</v>
      </c>
      <c r="R15" s="37">
        <v>33336204</v>
      </c>
      <c r="S15" s="10">
        <v>57727335</v>
      </c>
      <c r="T15" s="10">
        <v>118193887</v>
      </c>
      <c r="U15" s="2">
        <v>209622185</v>
      </c>
      <c r="V15" s="2">
        <v>303125771</v>
      </c>
      <c r="W15" s="2">
        <v>358108699</v>
      </c>
      <c r="X15" s="2">
        <v>402574582</v>
      </c>
    </row>
    <row r="16" spans="1:24">
      <c r="A16" s="3" t="s">
        <v>97</v>
      </c>
      <c r="B16" s="21">
        <f>SUM(B13:B15)</f>
        <v>0</v>
      </c>
      <c r="C16" s="21">
        <f t="shared" ref="C16:X16" si="2">SUM(C13:C15)</f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2"/>
        <v>0</v>
      </c>
      <c r="H16" s="21">
        <f t="shared" si="2"/>
        <v>0</v>
      </c>
      <c r="I16" s="21">
        <f t="shared" si="2"/>
        <v>0</v>
      </c>
      <c r="J16" s="21">
        <f t="shared" si="2"/>
        <v>0</v>
      </c>
      <c r="K16" s="21">
        <f t="shared" si="2"/>
        <v>0</v>
      </c>
      <c r="L16" s="21">
        <f t="shared" si="2"/>
        <v>0</v>
      </c>
      <c r="M16" s="21">
        <f t="shared" si="2"/>
        <v>0</v>
      </c>
      <c r="N16" s="21">
        <f t="shared" si="2"/>
        <v>421639636</v>
      </c>
      <c r="O16" s="21">
        <f t="shared" si="2"/>
        <v>0</v>
      </c>
      <c r="P16" s="21">
        <f t="shared" si="2"/>
        <v>16668148</v>
      </c>
      <c r="Q16" s="21">
        <f t="shared" si="2"/>
        <v>37336791</v>
      </c>
      <c r="R16" s="21">
        <f t="shared" si="2"/>
        <v>96043252</v>
      </c>
      <c r="S16" s="21">
        <f t="shared" si="2"/>
        <v>148365926</v>
      </c>
      <c r="T16" s="21">
        <f t="shared" si="2"/>
        <v>268062895</v>
      </c>
      <c r="U16" s="21">
        <f t="shared" si="2"/>
        <v>458723884</v>
      </c>
      <c r="V16" s="21">
        <f t="shared" si="2"/>
        <v>653112417</v>
      </c>
      <c r="W16" s="21">
        <f t="shared" si="2"/>
        <v>796404132</v>
      </c>
      <c r="X16" s="21">
        <f t="shared" si="2"/>
        <v>815913436</v>
      </c>
    </row>
    <row r="17" spans="1:24" ht="8.25" customHeight="1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>
      <c r="A18" s="3" t="s">
        <v>98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>
        <v>421639636</v>
      </c>
      <c r="O18" s="21">
        <v>421639636</v>
      </c>
      <c r="P18" s="21">
        <v>421639636</v>
      </c>
      <c r="Q18" s="21">
        <v>421639636</v>
      </c>
      <c r="R18" s="21">
        <v>421639636</v>
      </c>
      <c r="S18" s="21">
        <v>421639636</v>
      </c>
      <c r="T18" s="21">
        <v>421639636</v>
      </c>
      <c r="U18" s="21">
        <v>421639636</v>
      </c>
      <c r="V18" s="21">
        <v>421639636</v>
      </c>
      <c r="W18" s="21">
        <v>421639636</v>
      </c>
      <c r="X18" s="21">
        <v>421639636</v>
      </c>
    </row>
    <row r="19" spans="1:24" ht="9" customHeight="1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s="3" customFormat="1">
      <c r="A20" s="3" t="s">
        <v>100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51">
        <v>421639636</v>
      </c>
      <c r="O20" s="24">
        <f>SUM(O16+O18)</f>
        <v>421639636</v>
      </c>
      <c r="P20" s="24">
        <f t="shared" ref="P20:X20" si="3">SUM(P16+P18)</f>
        <v>438307784</v>
      </c>
      <c r="Q20" s="24">
        <f t="shared" si="3"/>
        <v>458976427</v>
      </c>
      <c r="R20" s="24">
        <f t="shared" si="3"/>
        <v>517682888</v>
      </c>
      <c r="S20" s="24">
        <f t="shared" si="3"/>
        <v>570005562</v>
      </c>
      <c r="T20" s="24">
        <f t="shared" si="3"/>
        <v>689702531</v>
      </c>
      <c r="U20" s="24">
        <f t="shared" si="3"/>
        <v>880363520</v>
      </c>
      <c r="V20" s="24">
        <f t="shared" si="3"/>
        <v>1074752053</v>
      </c>
      <c r="W20" s="24">
        <f t="shared" si="3"/>
        <v>1218043768</v>
      </c>
      <c r="X20" s="24">
        <f t="shared" si="3"/>
        <v>1237553072</v>
      </c>
    </row>
    <row r="21" spans="1:24" ht="15.75" thickBot="1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1"/>
      <c r="V21" s="11"/>
      <c r="W21" s="11"/>
      <c r="X21" s="11"/>
    </row>
    <row r="22" spans="1:24" s="3" customFormat="1" ht="15.75" thickBot="1">
      <c r="A22" s="59" t="s">
        <v>101</v>
      </c>
      <c r="B22" s="62">
        <f>SUM(B20+B11)</f>
        <v>24961646</v>
      </c>
      <c r="C22" s="62">
        <f t="shared" ref="C22:X22" si="4">SUM(C20+C11)</f>
        <v>26375046</v>
      </c>
      <c r="D22" s="62">
        <f t="shared" si="4"/>
        <v>32939346</v>
      </c>
      <c r="E22" s="62">
        <f t="shared" si="4"/>
        <v>36517146</v>
      </c>
      <c r="F22" s="62">
        <f t="shared" si="4"/>
        <v>41360646</v>
      </c>
      <c r="G22" s="62">
        <f t="shared" si="4"/>
        <v>42955946</v>
      </c>
      <c r="H22" s="62">
        <f t="shared" si="4"/>
        <v>48143646</v>
      </c>
      <c r="I22" s="62">
        <f t="shared" si="4"/>
        <v>49158146</v>
      </c>
      <c r="J22" s="62">
        <f t="shared" si="4"/>
        <v>48400846</v>
      </c>
      <c r="K22" s="62">
        <f t="shared" si="4"/>
        <v>50225846</v>
      </c>
      <c r="L22" s="62">
        <f t="shared" si="4"/>
        <v>54400246</v>
      </c>
      <c r="M22" s="62">
        <f t="shared" si="4"/>
        <v>49559746</v>
      </c>
      <c r="N22" s="62">
        <f t="shared" si="4"/>
        <v>475316082</v>
      </c>
      <c r="O22" s="62">
        <f t="shared" si="4"/>
        <v>495435482</v>
      </c>
      <c r="P22" s="62">
        <f t="shared" si="4"/>
        <v>513858697</v>
      </c>
      <c r="Q22" s="62">
        <f t="shared" si="4"/>
        <v>545300888</v>
      </c>
      <c r="R22" s="62">
        <f t="shared" si="4"/>
        <v>621385867</v>
      </c>
      <c r="S22" s="62">
        <f t="shared" si="4"/>
        <v>677249460</v>
      </c>
      <c r="T22" s="62">
        <f t="shared" si="4"/>
        <v>809660686</v>
      </c>
      <c r="U22" s="62">
        <f t="shared" si="4"/>
        <v>1019069724</v>
      </c>
      <c r="V22" s="62">
        <f t="shared" si="4"/>
        <v>1257999285</v>
      </c>
      <c r="W22" s="62">
        <f t="shared" si="4"/>
        <v>1404715126</v>
      </c>
      <c r="X22" s="63">
        <f t="shared" si="4"/>
        <v>1447383305</v>
      </c>
    </row>
    <row r="23" spans="1:24">
      <c r="A23" s="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>
      <c r="B24" s="34"/>
      <c r="C24" s="7" t="s">
        <v>33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4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4">
      <c r="B26" s="30"/>
      <c r="C26" s="7" t="s">
        <v>99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4">
      <c r="B27" s="2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4">
      <c r="O28">
        <v>980422</v>
      </c>
      <c r="P28">
        <v>11266000</v>
      </c>
      <c r="Q28">
        <v>75633900</v>
      </c>
    </row>
    <row r="29" spans="1:24">
      <c r="A29" s="64" t="s">
        <v>105</v>
      </c>
      <c r="O29" s="4">
        <v>33336204</v>
      </c>
      <c r="P29" s="4">
        <v>140237435</v>
      </c>
      <c r="Q29" s="4">
        <v>-67257415</v>
      </c>
    </row>
    <row r="30" spans="1:24"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4" t="s">
        <v>8</v>
      </c>
      <c r="I30" s="4" t="s">
        <v>9</v>
      </c>
      <c r="J30" s="4" t="s">
        <v>10</v>
      </c>
      <c r="K30" s="4" t="s">
        <v>11</v>
      </c>
      <c r="L30" s="4" t="s">
        <v>12</v>
      </c>
      <c r="M30" s="4" t="s">
        <v>13</v>
      </c>
      <c r="N30" s="4" t="s">
        <v>14</v>
      </c>
      <c r="O30" s="4" t="s">
        <v>15</v>
      </c>
      <c r="P30" s="4" t="s">
        <v>16</v>
      </c>
      <c r="Q30" s="5" t="s">
        <v>17</v>
      </c>
      <c r="R30" s="6" t="s">
        <v>18</v>
      </c>
      <c r="S30" s="6" t="s">
        <v>19</v>
      </c>
      <c r="T30" s="6" t="s">
        <v>20</v>
      </c>
      <c r="U30" s="6" t="s">
        <v>21</v>
      </c>
      <c r="V30" s="6" t="s">
        <v>22</v>
      </c>
      <c r="W30" s="5" t="s">
        <v>24</v>
      </c>
      <c r="X30" s="6" t="s">
        <v>23</v>
      </c>
    </row>
    <row r="31" spans="1:24">
      <c r="B31" s="1">
        <f>SUM(B9)</f>
        <v>24961646</v>
      </c>
      <c r="N31" s="1">
        <f>SUM(N16)</f>
        <v>421639636</v>
      </c>
    </row>
  </sheetData>
  <pageMargins left="0.25" right="0.25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X67"/>
  <sheetViews>
    <sheetView topLeftCell="A46" workbookViewId="0">
      <selection activeCell="A56" sqref="A56:XFD67"/>
    </sheetView>
  </sheetViews>
  <sheetFormatPr defaultRowHeight="15"/>
  <cols>
    <col min="1" max="1" width="22.140625" customWidth="1"/>
    <col min="2" max="2" width="13.28515625" customWidth="1"/>
    <col min="3" max="3" width="13.7109375" customWidth="1"/>
    <col min="4" max="4" width="13.140625" customWidth="1"/>
    <col min="5" max="5" width="13.28515625" customWidth="1"/>
    <col min="6" max="6" width="13" customWidth="1"/>
    <col min="7" max="7" width="13.140625" customWidth="1"/>
    <col min="8" max="8" width="13.28515625" customWidth="1"/>
    <col min="9" max="9" width="12.85546875" customWidth="1"/>
    <col min="10" max="10" width="13" customWidth="1"/>
    <col min="11" max="12" width="13.140625" customWidth="1"/>
    <col min="13" max="14" width="14.7109375" customWidth="1"/>
    <col min="15" max="15" width="12.85546875" customWidth="1"/>
    <col min="16" max="16" width="14.7109375" customWidth="1"/>
    <col min="17" max="17" width="13.85546875" customWidth="1"/>
    <col min="18" max="18" width="13.42578125" customWidth="1"/>
    <col min="19" max="19" width="13.5703125" customWidth="1"/>
    <col min="20" max="22" width="13.42578125" customWidth="1"/>
    <col min="23" max="23" width="13.5703125" customWidth="1"/>
    <col min="24" max="24" width="13.7109375" customWidth="1"/>
  </cols>
  <sheetData>
    <row r="3" spans="1:24"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5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5" t="s">
        <v>24</v>
      </c>
      <c r="X3" s="6" t="s">
        <v>23</v>
      </c>
    </row>
    <row r="4" spans="1:24" s="1" customFormat="1">
      <c r="B4" s="14"/>
      <c r="C4" s="38">
        <f>SUM(57039/0.01)</f>
        <v>5703900</v>
      </c>
      <c r="D4" s="38">
        <f>SUM(100324/0.01)</f>
        <v>10032400</v>
      </c>
      <c r="E4" s="38">
        <v>19628000</v>
      </c>
      <c r="F4" s="38">
        <v>43790500</v>
      </c>
      <c r="G4" s="38">
        <v>86590400</v>
      </c>
      <c r="H4" s="38">
        <v>31883800</v>
      </c>
      <c r="I4" s="38"/>
      <c r="J4" s="38"/>
      <c r="K4" s="38"/>
      <c r="L4" s="38"/>
      <c r="M4" s="38"/>
      <c r="N4" s="38"/>
      <c r="O4" s="38"/>
      <c r="P4" s="43"/>
      <c r="Q4" s="45"/>
      <c r="R4" s="45"/>
      <c r="S4" s="45"/>
      <c r="T4" s="45"/>
      <c r="U4" s="45"/>
      <c r="V4" s="45"/>
      <c r="W4" s="45"/>
      <c r="X4" s="45"/>
    </row>
    <row r="5" spans="1:24" s="7" customFormat="1">
      <c r="A5" s="7" t="s">
        <v>25</v>
      </c>
      <c r="B5" s="31">
        <v>20431414</v>
      </c>
      <c r="C5" s="35"/>
      <c r="D5" s="35"/>
      <c r="E5" s="35"/>
      <c r="F5" s="35"/>
      <c r="G5" s="35"/>
      <c r="H5" s="35">
        <v>100343900</v>
      </c>
      <c r="I5" s="35">
        <v>134671300</v>
      </c>
      <c r="J5" s="35">
        <v>92218700</v>
      </c>
      <c r="K5" s="35">
        <v>85235400</v>
      </c>
      <c r="L5" s="35">
        <v>82462300</v>
      </c>
      <c r="M5" s="35">
        <v>115695200</v>
      </c>
      <c r="N5" s="35">
        <v>112626400</v>
      </c>
      <c r="O5" s="35">
        <v>109821800</v>
      </c>
      <c r="P5" s="44">
        <v>200049231</v>
      </c>
      <c r="Q5" s="44">
        <v>235513221</v>
      </c>
      <c r="R5" s="44">
        <v>263412945</v>
      </c>
      <c r="S5" s="44">
        <v>280139242</v>
      </c>
      <c r="T5" s="44">
        <v>276776164</v>
      </c>
      <c r="U5" s="44">
        <v>286734367</v>
      </c>
      <c r="V5" s="44">
        <v>308313596</v>
      </c>
      <c r="W5" s="44">
        <v>361553440</v>
      </c>
      <c r="X5" s="44">
        <v>370536480</v>
      </c>
    </row>
    <row r="6" spans="1:24" s="7" customFormat="1">
      <c r="A6" s="18" t="s">
        <v>97</v>
      </c>
      <c r="B6" s="8">
        <f>SUM(B4:B5)</f>
        <v>20431414</v>
      </c>
      <c r="C6" s="8">
        <f t="shared" ref="C6:X6" si="0">SUM(C4:C5)</f>
        <v>5703900</v>
      </c>
      <c r="D6" s="8">
        <f t="shared" si="0"/>
        <v>10032400</v>
      </c>
      <c r="E6" s="8">
        <f t="shared" si="0"/>
        <v>19628000</v>
      </c>
      <c r="F6" s="8">
        <f t="shared" si="0"/>
        <v>43790500</v>
      </c>
      <c r="G6" s="8">
        <f t="shared" si="0"/>
        <v>86590400</v>
      </c>
      <c r="H6" s="8">
        <f t="shared" si="0"/>
        <v>132227700</v>
      </c>
      <c r="I6" s="8">
        <f t="shared" si="0"/>
        <v>134671300</v>
      </c>
      <c r="J6" s="8">
        <f t="shared" si="0"/>
        <v>92218700</v>
      </c>
      <c r="K6" s="8">
        <f t="shared" si="0"/>
        <v>85235400</v>
      </c>
      <c r="L6" s="8">
        <f t="shared" si="0"/>
        <v>82462300</v>
      </c>
      <c r="M6" s="8">
        <f t="shared" si="0"/>
        <v>115695200</v>
      </c>
      <c r="N6" s="8">
        <f t="shared" si="0"/>
        <v>112626400</v>
      </c>
      <c r="O6" s="8">
        <f t="shared" si="0"/>
        <v>109821800</v>
      </c>
      <c r="P6" s="8">
        <f t="shared" si="0"/>
        <v>200049231</v>
      </c>
      <c r="Q6" s="8">
        <f t="shared" si="0"/>
        <v>235513221</v>
      </c>
      <c r="R6" s="8">
        <f t="shared" si="0"/>
        <v>263412945</v>
      </c>
      <c r="S6" s="8">
        <f t="shared" si="0"/>
        <v>280139242</v>
      </c>
      <c r="T6" s="8">
        <f t="shared" si="0"/>
        <v>276776164</v>
      </c>
      <c r="U6" s="8">
        <f t="shared" si="0"/>
        <v>286734367</v>
      </c>
      <c r="V6" s="8">
        <f t="shared" si="0"/>
        <v>308313596</v>
      </c>
      <c r="W6" s="8">
        <f t="shared" si="0"/>
        <v>361553440</v>
      </c>
      <c r="X6" s="8">
        <f t="shared" si="0"/>
        <v>370536480</v>
      </c>
    </row>
    <row r="7" spans="1:24" s="7" customFormat="1" ht="7.5" customHeight="1">
      <c r="A7" s="1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s="7" customFormat="1">
      <c r="A8" s="18" t="s">
        <v>98</v>
      </c>
      <c r="B8" s="10">
        <v>20431414</v>
      </c>
      <c r="C8" s="10">
        <v>20431414</v>
      </c>
      <c r="D8" s="10">
        <v>20431414</v>
      </c>
      <c r="E8" s="10">
        <v>20431414</v>
      </c>
      <c r="F8" s="10">
        <v>20431414</v>
      </c>
      <c r="G8" s="10">
        <v>20431414</v>
      </c>
      <c r="H8" s="10">
        <v>20431414</v>
      </c>
      <c r="I8" s="10">
        <v>20431414</v>
      </c>
      <c r="J8" s="10">
        <v>20431414</v>
      </c>
      <c r="K8" s="10">
        <v>20431414</v>
      </c>
      <c r="L8" s="10">
        <v>20431414</v>
      </c>
      <c r="M8" s="10">
        <v>20431414</v>
      </c>
      <c r="N8" s="10">
        <v>20431414</v>
      </c>
      <c r="O8" s="10">
        <v>20431414</v>
      </c>
      <c r="P8" s="10">
        <v>20431414</v>
      </c>
      <c r="Q8" s="10">
        <v>20431414</v>
      </c>
      <c r="R8" s="10">
        <v>20431414</v>
      </c>
      <c r="S8" s="10">
        <v>20431414</v>
      </c>
      <c r="T8" s="10">
        <v>20431414</v>
      </c>
      <c r="U8" s="10">
        <v>20431414</v>
      </c>
      <c r="V8" s="10">
        <v>20431414</v>
      </c>
      <c r="W8" s="10">
        <v>20431414</v>
      </c>
      <c r="X8" s="10">
        <v>20431414</v>
      </c>
    </row>
    <row r="9" spans="1:24" s="7" customFormat="1" ht="7.5" customHeight="1">
      <c r="A9" s="1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s="18" customFormat="1">
      <c r="A10" s="52" t="s">
        <v>100</v>
      </c>
      <c r="B10" s="53">
        <v>20431414</v>
      </c>
      <c r="C10" s="53">
        <f>SUM(C8+C6)</f>
        <v>26135314</v>
      </c>
      <c r="D10" s="53">
        <f t="shared" ref="D10:X10" si="1">SUM(D8+D6)</f>
        <v>30463814</v>
      </c>
      <c r="E10" s="53">
        <f t="shared" si="1"/>
        <v>40059414</v>
      </c>
      <c r="F10" s="53">
        <f t="shared" si="1"/>
        <v>64221914</v>
      </c>
      <c r="G10" s="53">
        <f t="shared" si="1"/>
        <v>107021814</v>
      </c>
      <c r="H10" s="53">
        <f t="shared" si="1"/>
        <v>152659114</v>
      </c>
      <c r="I10" s="53">
        <f t="shared" si="1"/>
        <v>155102714</v>
      </c>
      <c r="J10" s="53">
        <f t="shared" si="1"/>
        <v>112650114</v>
      </c>
      <c r="K10" s="53">
        <f t="shared" si="1"/>
        <v>105666814</v>
      </c>
      <c r="L10" s="53">
        <f t="shared" si="1"/>
        <v>102893714</v>
      </c>
      <c r="M10" s="53">
        <f t="shared" si="1"/>
        <v>136126614</v>
      </c>
      <c r="N10" s="53">
        <f t="shared" si="1"/>
        <v>133057814</v>
      </c>
      <c r="O10" s="53">
        <f t="shared" si="1"/>
        <v>130253214</v>
      </c>
      <c r="P10" s="53">
        <f t="shared" si="1"/>
        <v>220480645</v>
      </c>
      <c r="Q10" s="53">
        <f t="shared" si="1"/>
        <v>255944635</v>
      </c>
      <c r="R10" s="53">
        <f t="shared" si="1"/>
        <v>283844359</v>
      </c>
      <c r="S10" s="53">
        <f t="shared" si="1"/>
        <v>300570656</v>
      </c>
      <c r="T10" s="53">
        <f t="shared" si="1"/>
        <v>297207578</v>
      </c>
      <c r="U10" s="53">
        <f t="shared" si="1"/>
        <v>307165781</v>
      </c>
      <c r="V10" s="53">
        <f t="shared" si="1"/>
        <v>328745010</v>
      </c>
      <c r="W10" s="53">
        <f t="shared" si="1"/>
        <v>381984854</v>
      </c>
      <c r="X10" s="54">
        <f t="shared" si="1"/>
        <v>390967894</v>
      </c>
    </row>
    <row r="11" spans="1:24" s="7" customFormat="1">
      <c r="A11" s="1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s="7" customFormat="1">
      <c r="B12" s="8"/>
      <c r="C12" s="8"/>
      <c r="D12" s="48">
        <f>SUM(169785/0.01)</f>
        <v>16978500</v>
      </c>
      <c r="E12" s="32">
        <v>18789300</v>
      </c>
      <c r="F12" s="32">
        <v>22785300</v>
      </c>
      <c r="G12" s="32">
        <v>26815700</v>
      </c>
      <c r="H12" s="32">
        <v>14240000</v>
      </c>
      <c r="I12" s="32"/>
      <c r="J12" s="32"/>
      <c r="K12" s="32"/>
      <c r="L12" s="32"/>
      <c r="M12" s="32"/>
      <c r="N12" s="32"/>
      <c r="O12" s="32"/>
      <c r="P12" s="49"/>
      <c r="Q12" s="49"/>
      <c r="R12" s="49"/>
      <c r="S12" s="49"/>
      <c r="T12" s="49"/>
      <c r="U12" s="49"/>
      <c r="V12" s="49"/>
      <c r="W12" s="49"/>
      <c r="X12" s="49"/>
    </row>
    <row r="13" spans="1:24" s="7" customFormat="1">
      <c r="A13" s="7" t="s">
        <v>28</v>
      </c>
      <c r="B13" s="8"/>
      <c r="C13" s="28">
        <v>5718436</v>
      </c>
      <c r="D13" s="48"/>
      <c r="E13" s="32"/>
      <c r="F13" s="32"/>
      <c r="G13" s="32"/>
      <c r="H13" s="32">
        <v>7571500</v>
      </c>
      <c r="I13" s="32">
        <v>12272700</v>
      </c>
      <c r="J13" s="32">
        <v>10715700</v>
      </c>
      <c r="K13" s="32">
        <v>11253600</v>
      </c>
      <c r="L13" s="32">
        <v>12367300</v>
      </c>
      <c r="M13" s="32">
        <v>13001400</v>
      </c>
      <c r="N13" s="32">
        <v>12734600</v>
      </c>
      <c r="O13" s="32">
        <f>SUM(64204/0.01)</f>
        <v>6420400</v>
      </c>
      <c r="P13" s="49">
        <v>12595862</v>
      </c>
      <c r="Q13" s="49">
        <v>15266498</v>
      </c>
      <c r="R13" s="49">
        <v>16439479</v>
      </c>
      <c r="S13" s="49">
        <v>29957271</v>
      </c>
      <c r="T13" s="49">
        <v>32822931</v>
      </c>
      <c r="U13" s="49">
        <v>37025615</v>
      </c>
      <c r="V13" s="49">
        <v>41655325</v>
      </c>
      <c r="W13" s="49">
        <v>44920368</v>
      </c>
      <c r="X13" s="49">
        <v>44988327</v>
      </c>
    </row>
    <row r="14" spans="1:24">
      <c r="A14" t="s">
        <v>30</v>
      </c>
      <c r="B14" s="2"/>
      <c r="C14" s="31">
        <v>50995367</v>
      </c>
      <c r="D14" s="39"/>
      <c r="E14" s="35"/>
      <c r="F14" s="35"/>
      <c r="G14" s="35"/>
      <c r="H14" s="35">
        <v>17302000</v>
      </c>
      <c r="I14" s="35">
        <v>32275100</v>
      </c>
      <c r="J14" s="35">
        <v>30671900</v>
      </c>
      <c r="K14" s="35">
        <v>28930700</v>
      </c>
      <c r="L14" s="35">
        <v>25993700</v>
      </c>
      <c r="M14" s="35">
        <v>24919800</v>
      </c>
      <c r="N14" s="35">
        <v>27761100</v>
      </c>
      <c r="O14" s="35">
        <f>SUM(158267/0.01)</f>
        <v>15826700</v>
      </c>
      <c r="P14" s="44">
        <v>37641511</v>
      </c>
      <c r="Q14" s="44">
        <v>41162781</v>
      </c>
      <c r="R14" s="44">
        <v>47356341</v>
      </c>
      <c r="S14" s="44">
        <v>44844124</v>
      </c>
      <c r="T14" s="44">
        <v>51952788</v>
      </c>
      <c r="U14" s="44">
        <v>68068881</v>
      </c>
      <c r="V14" s="44">
        <v>74990611</v>
      </c>
      <c r="W14" s="44">
        <v>91813854</v>
      </c>
      <c r="X14" s="44">
        <v>89390057</v>
      </c>
    </row>
    <row r="15" spans="1:24">
      <c r="A15" s="18" t="s">
        <v>97</v>
      </c>
      <c r="B15" s="1"/>
      <c r="C15" s="1">
        <f>SUM(C12:C14)</f>
        <v>56713803</v>
      </c>
      <c r="D15" s="1">
        <f t="shared" ref="D15:X15" si="2">SUM(D12:D14)</f>
        <v>16978500</v>
      </c>
      <c r="E15" s="1">
        <f t="shared" si="2"/>
        <v>18789300</v>
      </c>
      <c r="F15" s="1">
        <f t="shared" si="2"/>
        <v>22785300</v>
      </c>
      <c r="G15" s="1">
        <f t="shared" si="2"/>
        <v>26815700</v>
      </c>
      <c r="H15" s="1">
        <f t="shared" si="2"/>
        <v>39113500</v>
      </c>
      <c r="I15" s="1">
        <f t="shared" si="2"/>
        <v>44547800</v>
      </c>
      <c r="J15" s="1">
        <f t="shared" si="2"/>
        <v>41387600</v>
      </c>
      <c r="K15" s="1">
        <f t="shared" si="2"/>
        <v>40184300</v>
      </c>
      <c r="L15" s="1">
        <f t="shared" si="2"/>
        <v>38361000</v>
      </c>
      <c r="M15" s="1">
        <f t="shared" si="2"/>
        <v>37921200</v>
      </c>
      <c r="N15" s="1">
        <f t="shared" si="2"/>
        <v>40495700</v>
      </c>
      <c r="O15" s="1">
        <f t="shared" si="2"/>
        <v>22247100</v>
      </c>
      <c r="P15" s="1">
        <f t="shared" si="2"/>
        <v>50237373</v>
      </c>
      <c r="Q15" s="1">
        <f t="shared" si="2"/>
        <v>56429279</v>
      </c>
      <c r="R15" s="1">
        <f t="shared" si="2"/>
        <v>63795820</v>
      </c>
      <c r="S15" s="1">
        <f t="shared" si="2"/>
        <v>74801395</v>
      </c>
      <c r="T15" s="1">
        <f t="shared" si="2"/>
        <v>84775719</v>
      </c>
      <c r="U15" s="1">
        <f t="shared" si="2"/>
        <v>105094496</v>
      </c>
      <c r="V15" s="1">
        <f t="shared" si="2"/>
        <v>116645936</v>
      </c>
      <c r="W15" s="1">
        <f t="shared" si="2"/>
        <v>136734222</v>
      </c>
      <c r="X15" s="1">
        <f t="shared" si="2"/>
        <v>134378384</v>
      </c>
    </row>
    <row r="16" spans="1:24" ht="8.25" customHeight="1">
      <c r="A16" s="18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>
      <c r="A17" s="18" t="s">
        <v>98</v>
      </c>
      <c r="B17" s="1"/>
      <c r="C17" s="1">
        <v>56713803</v>
      </c>
      <c r="D17" s="1">
        <v>56713803</v>
      </c>
      <c r="E17" s="1">
        <v>56713803</v>
      </c>
      <c r="F17" s="1">
        <v>56713803</v>
      </c>
      <c r="G17" s="1">
        <v>56713803</v>
      </c>
      <c r="H17" s="1">
        <v>56713803</v>
      </c>
      <c r="I17" s="1">
        <v>56713803</v>
      </c>
      <c r="J17" s="1">
        <v>56713803</v>
      </c>
      <c r="K17" s="1">
        <v>56713803</v>
      </c>
      <c r="L17" s="1">
        <v>56713803</v>
      </c>
      <c r="M17" s="1">
        <v>56713803</v>
      </c>
      <c r="N17" s="1">
        <v>56713803</v>
      </c>
      <c r="O17" s="1">
        <v>56713803</v>
      </c>
      <c r="P17" s="1">
        <v>56713803</v>
      </c>
      <c r="Q17" s="1">
        <v>56713803</v>
      </c>
      <c r="R17" s="1">
        <v>56713803</v>
      </c>
      <c r="S17" s="1">
        <v>56713803</v>
      </c>
      <c r="T17" s="1">
        <v>56713803</v>
      </c>
      <c r="U17" s="1">
        <v>56713803</v>
      </c>
      <c r="V17" s="1">
        <v>56713803</v>
      </c>
      <c r="W17" s="1">
        <v>56713803</v>
      </c>
      <c r="X17" s="1">
        <v>56713803</v>
      </c>
    </row>
    <row r="18" spans="1:24" ht="7.5" customHeight="1">
      <c r="A18" s="18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s="3" customFormat="1">
      <c r="A19" s="52" t="s">
        <v>100</v>
      </c>
      <c r="B19" s="55"/>
      <c r="C19" s="55">
        <v>56713803</v>
      </c>
      <c r="D19" s="55">
        <f>SUM(D15+D17)</f>
        <v>73692303</v>
      </c>
      <c r="E19" s="55">
        <f t="shared" ref="E19:X19" si="3">SUM(E15+E17)</f>
        <v>75503103</v>
      </c>
      <c r="F19" s="55">
        <f t="shared" si="3"/>
        <v>79499103</v>
      </c>
      <c r="G19" s="55">
        <f t="shared" si="3"/>
        <v>83529503</v>
      </c>
      <c r="H19" s="55">
        <f t="shared" si="3"/>
        <v>95827303</v>
      </c>
      <c r="I19" s="55">
        <f t="shared" si="3"/>
        <v>101261603</v>
      </c>
      <c r="J19" s="55">
        <f t="shared" si="3"/>
        <v>98101403</v>
      </c>
      <c r="K19" s="55">
        <f t="shared" si="3"/>
        <v>96898103</v>
      </c>
      <c r="L19" s="55">
        <f t="shared" si="3"/>
        <v>95074803</v>
      </c>
      <c r="M19" s="55">
        <f t="shared" si="3"/>
        <v>94635003</v>
      </c>
      <c r="N19" s="55">
        <f t="shared" si="3"/>
        <v>97209503</v>
      </c>
      <c r="O19" s="55">
        <f t="shared" si="3"/>
        <v>78960903</v>
      </c>
      <c r="P19" s="55">
        <f t="shared" si="3"/>
        <v>106951176</v>
      </c>
      <c r="Q19" s="55">
        <f t="shared" si="3"/>
        <v>113143082</v>
      </c>
      <c r="R19" s="55">
        <f t="shared" si="3"/>
        <v>120509623</v>
      </c>
      <c r="S19" s="55">
        <f t="shared" si="3"/>
        <v>131515198</v>
      </c>
      <c r="T19" s="55">
        <f t="shared" si="3"/>
        <v>141489522</v>
      </c>
      <c r="U19" s="55">
        <f t="shared" si="3"/>
        <v>161808299</v>
      </c>
      <c r="V19" s="55">
        <f t="shared" si="3"/>
        <v>173359739</v>
      </c>
      <c r="W19" s="55">
        <f t="shared" si="3"/>
        <v>193448025</v>
      </c>
      <c r="X19" s="56">
        <f t="shared" si="3"/>
        <v>191092187</v>
      </c>
    </row>
    <row r="20" spans="1:24" s="7" customFormat="1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s="7" customFormat="1">
      <c r="A21" s="7" t="s">
        <v>26</v>
      </c>
      <c r="B21" s="10"/>
      <c r="C21" s="10"/>
      <c r="D21" s="31">
        <v>47687574</v>
      </c>
      <c r="E21" s="26"/>
      <c r="F21" s="41">
        <v>14575932</v>
      </c>
      <c r="G21" s="41">
        <v>31374741</v>
      </c>
      <c r="H21" s="41">
        <v>35659372</v>
      </c>
      <c r="I21" s="41">
        <v>35903814</v>
      </c>
      <c r="J21" s="41">
        <v>42180013</v>
      </c>
      <c r="K21" s="41">
        <v>35001757</v>
      </c>
      <c r="L21" s="41">
        <v>35275739</v>
      </c>
      <c r="M21" s="39">
        <v>37979500</v>
      </c>
      <c r="N21" s="39">
        <v>36577500</v>
      </c>
      <c r="O21" s="39">
        <v>20548400</v>
      </c>
      <c r="P21" s="44">
        <v>47146991</v>
      </c>
      <c r="Q21" s="44">
        <v>57557933</v>
      </c>
      <c r="R21" s="44">
        <v>64695932</v>
      </c>
      <c r="S21" s="44">
        <v>66458799</v>
      </c>
      <c r="T21" s="44">
        <v>67167692</v>
      </c>
      <c r="U21" s="44">
        <v>74900185</v>
      </c>
      <c r="V21" s="44">
        <v>79494694</v>
      </c>
      <c r="W21" s="44">
        <v>81038569</v>
      </c>
      <c r="X21" s="44">
        <v>96978680</v>
      </c>
    </row>
    <row r="22" spans="1:24" s="7" customFormat="1">
      <c r="A22" s="18" t="s">
        <v>97</v>
      </c>
      <c r="B22" s="8"/>
      <c r="C22" s="8"/>
      <c r="D22" s="8">
        <f>SUM(D21)</f>
        <v>47687574</v>
      </c>
      <c r="E22" s="8">
        <f t="shared" ref="E22:X22" si="4">SUM(E21)</f>
        <v>0</v>
      </c>
      <c r="F22" s="8">
        <f t="shared" si="4"/>
        <v>14575932</v>
      </c>
      <c r="G22" s="8">
        <f t="shared" si="4"/>
        <v>31374741</v>
      </c>
      <c r="H22" s="8">
        <f t="shared" si="4"/>
        <v>35659372</v>
      </c>
      <c r="I22" s="8">
        <f t="shared" si="4"/>
        <v>35903814</v>
      </c>
      <c r="J22" s="8">
        <f t="shared" si="4"/>
        <v>42180013</v>
      </c>
      <c r="K22" s="8">
        <f t="shared" si="4"/>
        <v>35001757</v>
      </c>
      <c r="L22" s="8">
        <f t="shared" si="4"/>
        <v>35275739</v>
      </c>
      <c r="M22" s="8">
        <f t="shared" si="4"/>
        <v>37979500</v>
      </c>
      <c r="N22" s="8">
        <f t="shared" si="4"/>
        <v>36577500</v>
      </c>
      <c r="O22" s="8">
        <f t="shared" si="4"/>
        <v>20548400</v>
      </c>
      <c r="P22" s="8">
        <f t="shared" si="4"/>
        <v>47146991</v>
      </c>
      <c r="Q22" s="8">
        <f t="shared" si="4"/>
        <v>57557933</v>
      </c>
      <c r="R22" s="8">
        <f t="shared" si="4"/>
        <v>64695932</v>
      </c>
      <c r="S22" s="8">
        <f t="shared" si="4"/>
        <v>66458799</v>
      </c>
      <c r="T22" s="8">
        <f t="shared" si="4"/>
        <v>67167692</v>
      </c>
      <c r="U22" s="8">
        <f t="shared" si="4"/>
        <v>74900185</v>
      </c>
      <c r="V22" s="8">
        <f t="shared" si="4"/>
        <v>79494694</v>
      </c>
      <c r="W22" s="8">
        <f t="shared" si="4"/>
        <v>81038569</v>
      </c>
      <c r="X22" s="8">
        <f t="shared" si="4"/>
        <v>96978680</v>
      </c>
    </row>
    <row r="23" spans="1:24" s="7" customFormat="1" ht="8.25" customHeight="1">
      <c r="A23" s="1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s="7" customFormat="1">
      <c r="A24" s="18" t="s">
        <v>98</v>
      </c>
      <c r="B24" s="8"/>
      <c r="C24" s="8"/>
      <c r="D24" s="8">
        <v>47687574</v>
      </c>
      <c r="E24" s="8">
        <v>47687574</v>
      </c>
      <c r="F24" s="8">
        <v>47687574</v>
      </c>
      <c r="G24" s="8">
        <v>47687574</v>
      </c>
      <c r="H24" s="8">
        <v>47687574</v>
      </c>
      <c r="I24" s="8">
        <v>47687574</v>
      </c>
      <c r="J24" s="8">
        <v>47687574</v>
      </c>
      <c r="K24" s="8">
        <v>47687574</v>
      </c>
      <c r="L24" s="8">
        <v>47687574</v>
      </c>
      <c r="M24" s="8">
        <v>47687574</v>
      </c>
      <c r="N24" s="8">
        <v>47687574</v>
      </c>
      <c r="O24" s="8">
        <v>47687574</v>
      </c>
      <c r="P24" s="8">
        <v>47687574</v>
      </c>
      <c r="Q24" s="8">
        <v>47687574</v>
      </c>
      <c r="R24" s="8">
        <v>47687574</v>
      </c>
      <c r="S24" s="8">
        <v>47687574</v>
      </c>
      <c r="T24" s="8">
        <v>47687574</v>
      </c>
      <c r="U24" s="8">
        <v>47687574</v>
      </c>
      <c r="V24" s="8">
        <v>47687574</v>
      </c>
      <c r="W24" s="8">
        <v>47687574</v>
      </c>
      <c r="X24" s="8">
        <v>47687574</v>
      </c>
    </row>
    <row r="25" spans="1:24" s="7" customFormat="1" ht="6" customHeight="1">
      <c r="A25" s="1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s="18" customFormat="1">
      <c r="A26" s="52" t="s">
        <v>100</v>
      </c>
      <c r="B26" s="53"/>
      <c r="C26" s="53"/>
      <c r="D26" s="53">
        <v>47687574</v>
      </c>
      <c r="E26" s="53">
        <f>SUM(E24+E22)</f>
        <v>47687574</v>
      </c>
      <c r="F26" s="53">
        <f t="shared" ref="F26:X26" si="5">SUM(F24+F22)</f>
        <v>62263506</v>
      </c>
      <c r="G26" s="53">
        <f t="shared" si="5"/>
        <v>79062315</v>
      </c>
      <c r="H26" s="53">
        <f t="shared" si="5"/>
        <v>83346946</v>
      </c>
      <c r="I26" s="53">
        <f t="shared" si="5"/>
        <v>83591388</v>
      </c>
      <c r="J26" s="53">
        <f t="shared" si="5"/>
        <v>89867587</v>
      </c>
      <c r="K26" s="53">
        <f t="shared" si="5"/>
        <v>82689331</v>
      </c>
      <c r="L26" s="53">
        <f t="shared" si="5"/>
        <v>82963313</v>
      </c>
      <c r="M26" s="53">
        <f t="shared" si="5"/>
        <v>85667074</v>
      </c>
      <c r="N26" s="53">
        <f t="shared" si="5"/>
        <v>84265074</v>
      </c>
      <c r="O26" s="53">
        <f t="shared" si="5"/>
        <v>68235974</v>
      </c>
      <c r="P26" s="53">
        <f t="shared" si="5"/>
        <v>94834565</v>
      </c>
      <c r="Q26" s="53">
        <f t="shared" si="5"/>
        <v>105245507</v>
      </c>
      <c r="R26" s="53">
        <f t="shared" si="5"/>
        <v>112383506</v>
      </c>
      <c r="S26" s="53">
        <f t="shared" si="5"/>
        <v>114146373</v>
      </c>
      <c r="T26" s="53">
        <f t="shared" si="5"/>
        <v>114855266</v>
      </c>
      <c r="U26" s="53">
        <f t="shared" si="5"/>
        <v>122587759</v>
      </c>
      <c r="V26" s="53">
        <f t="shared" si="5"/>
        <v>127182268</v>
      </c>
      <c r="W26" s="53">
        <f t="shared" si="5"/>
        <v>128726143</v>
      </c>
      <c r="X26" s="54">
        <f t="shared" si="5"/>
        <v>144666254</v>
      </c>
    </row>
    <row r="27" spans="1:24" s="7" customFormat="1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s="7" customFormat="1">
      <c r="A28" s="7" t="s">
        <v>27</v>
      </c>
      <c r="B28" s="10"/>
      <c r="C28" s="10"/>
      <c r="D28" s="10"/>
      <c r="E28" s="31">
        <v>42339760</v>
      </c>
      <c r="F28" s="41">
        <v>4021162</v>
      </c>
      <c r="G28" s="41">
        <v>9959376</v>
      </c>
      <c r="H28" s="41">
        <v>21982136</v>
      </c>
      <c r="I28" s="41">
        <v>25358064</v>
      </c>
      <c r="J28" s="41">
        <v>32782925</v>
      </c>
      <c r="K28" s="41">
        <v>132388363</v>
      </c>
      <c r="L28" s="41">
        <v>187582110</v>
      </c>
      <c r="M28" s="39">
        <v>145024200</v>
      </c>
      <c r="N28" s="39">
        <v>154999400</v>
      </c>
      <c r="O28" s="39">
        <v>120371700</v>
      </c>
      <c r="P28" s="44">
        <v>240531917</v>
      </c>
      <c r="Q28" s="44">
        <v>275036063</v>
      </c>
      <c r="R28" s="44">
        <v>282585065</v>
      </c>
      <c r="S28" s="44">
        <v>299900572</v>
      </c>
      <c r="T28" s="44">
        <v>302083082</v>
      </c>
      <c r="U28" s="44">
        <v>317947000</v>
      </c>
      <c r="V28" s="44">
        <v>325503421</v>
      </c>
      <c r="W28" s="44">
        <v>351729630</v>
      </c>
      <c r="X28" s="44">
        <v>398470666</v>
      </c>
    </row>
    <row r="29" spans="1:24" s="7" customFormat="1">
      <c r="A29" s="18" t="s">
        <v>97</v>
      </c>
      <c r="B29" s="8"/>
      <c r="C29" s="8"/>
      <c r="D29" s="8"/>
      <c r="E29" s="8">
        <f>SUM(E28)</f>
        <v>42339760</v>
      </c>
      <c r="F29" s="8">
        <f t="shared" ref="F29:X29" si="6">SUM(F28)</f>
        <v>4021162</v>
      </c>
      <c r="G29" s="8">
        <f t="shared" si="6"/>
        <v>9959376</v>
      </c>
      <c r="H29" s="8">
        <f t="shared" si="6"/>
        <v>21982136</v>
      </c>
      <c r="I29" s="8">
        <f t="shared" si="6"/>
        <v>25358064</v>
      </c>
      <c r="J29" s="8">
        <f t="shared" si="6"/>
        <v>32782925</v>
      </c>
      <c r="K29" s="8">
        <f t="shared" si="6"/>
        <v>132388363</v>
      </c>
      <c r="L29" s="8">
        <f t="shared" si="6"/>
        <v>187582110</v>
      </c>
      <c r="M29" s="8">
        <f t="shared" si="6"/>
        <v>145024200</v>
      </c>
      <c r="N29" s="8">
        <f t="shared" si="6"/>
        <v>154999400</v>
      </c>
      <c r="O29" s="8">
        <f t="shared" si="6"/>
        <v>120371700</v>
      </c>
      <c r="P29" s="8">
        <f t="shared" si="6"/>
        <v>240531917</v>
      </c>
      <c r="Q29" s="8">
        <f t="shared" si="6"/>
        <v>275036063</v>
      </c>
      <c r="R29" s="8">
        <f t="shared" si="6"/>
        <v>282585065</v>
      </c>
      <c r="S29" s="8">
        <f t="shared" si="6"/>
        <v>299900572</v>
      </c>
      <c r="T29" s="8">
        <f t="shared" si="6"/>
        <v>302083082</v>
      </c>
      <c r="U29" s="8">
        <f t="shared" si="6"/>
        <v>317947000</v>
      </c>
      <c r="V29" s="8">
        <f t="shared" si="6"/>
        <v>325503421</v>
      </c>
      <c r="W29" s="8">
        <f t="shared" si="6"/>
        <v>351729630</v>
      </c>
      <c r="X29" s="8">
        <f t="shared" si="6"/>
        <v>398470666</v>
      </c>
    </row>
    <row r="30" spans="1:24" s="7" customFormat="1" ht="9.75" customHeight="1">
      <c r="A30" s="1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s="7" customFormat="1">
      <c r="A31" s="18" t="s">
        <v>98</v>
      </c>
      <c r="B31" s="8"/>
      <c r="C31" s="8"/>
      <c r="D31" s="8"/>
      <c r="E31" s="8">
        <v>42339760</v>
      </c>
      <c r="F31" s="8">
        <v>42339760</v>
      </c>
      <c r="G31" s="8">
        <v>42339760</v>
      </c>
      <c r="H31" s="8">
        <v>42339760</v>
      </c>
      <c r="I31" s="8">
        <v>42339760</v>
      </c>
      <c r="J31" s="8">
        <v>42339760</v>
      </c>
      <c r="K31" s="8">
        <v>42339760</v>
      </c>
      <c r="L31" s="8">
        <v>42339760</v>
      </c>
      <c r="M31" s="8">
        <v>42339760</v>
      </c>
      <c r="N31" s="8">
        <v>42339760</v>
      </c>
      <c r="O31" s="8">
        <v>42339760</v>
      </c>
      <c r="P31" s="8">
        <v>42339760</v>
      </c>
      <c r="Q31" s="8">
        <v>42339760</v>
      </c>
      <c r="R31" s="8">
        <v>42339760</v>
      </c>
      <c r="S31" s="8">
        <v>42339760</v>
      </c>
      <c r="T31" s="8">
        <v>42339760</v>
      </c>
      <c r="U31" s="8">
        <v>42339760</v>
      </c>
      <c r="V31" s="8">
        <v>42339760</v>
      </c>
      <c r="W31" s="8">
        <v>42339760</v>
      </c>
      <c r="X31" s="8">
        <v>42339760</v>
      </c>
    </row>
    <row r="32" spans="1:24" s="7" customFormat="1" ht="6.75" customHeight="1">
      <c r="A32" s="1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s="18" customFormat="1">
      <c r="A33" s="52" t="s">
        <v>100</v>
      </c>
      <c r="B33" s="53"/>
      <c r="C33" s="53"/>
      <c r="D33" s="57"/>
      <c r="E33" s="53">
        <v>42339760</v>
      </c>
      <c r="F33" s="53">
        <f>SUM(F29+F31)</f>
        <v>46360922</v>
      </c>
      <c r="G33" s="53">
        <f t="shared" ref="G33:X33" si="7">SUM(G29+G31)</f>
        <v>52299136</v>
      </c>
      <c r="H33" s="53">
        <f t="shared" si="7"/>
        <v>64321896</v>
      </c>
      <c r="I33" s="53">
        <f t="shared" si="7"/>
        <v>67697824</v>
      </c>
      <c r="J33" s="53">
        <f t="shared" si="7"/>
        <v>75122685</v>
      </c>
      <c r="K33" s="53">
        <f t="shared" si="7"/>
        <v>174728123</v>
      </c>
      <c r="L33" s="53">
        <f t="shared" si="7"/>
        <v>229921870</v>
      </c>
      <c r="M33" s="53">
        <f t="shared" si="7"/>
        <v>187363960</v>
      </c>
      <c r="N33" s="53">
        <f t="shared" si="7"/>
        <v>197339160</v>
      </c>
      <c r="O33" s="53">
        <f t="shared" si="7"/>
        <v>162711460</v>
      </c>
      <c r="P33" s="53">
        <f t="shared" si="7"/>
        <v>282871677</v>
      </c>
      <c r="Q33" s="53">
        <f t="shared" si="7"/>
        <v>317375823</v>
      </c>
      <c r="R33" s="53">
        <f t="shared" si="7"/>
        <v>324924825</v>
      </c>
      <c r="S33" s="53">
        <f t="shared" si="7"/>
        <v>342240332</v>
      </c>
      <c r="T33" s="53">
        <f t="shared" si="7"/>
        <v>344422842</v>
      </c>
      <c r="U33" s="53">
        <f t="shared" si="7"/>
        <v>360286760</v>
      </c>
      <c r="V33" s="53">
        <f t="shared" si="7"/>
        <v>367843181</v>
      </c>
      <c r="W33" s="53">
        <f t="shared" si="7"/>
        <v>394069390</v>
      </c>
      <c r="X33" s="54">
        <f t="shared" si="7"/>
        <v>440810426</v>
      </c>
    </row>
    <row r="34" spans="1:24" s="7" customFormat="1">
      <c r="A34" s="18"/>
      <c r="B34" s="8"/>
      <c r="C34" s="8"/>
      <c r="D34" s="8"/>
      <c r="E34" s="8"/>
      <c r="F34" s="8"/>
      <c r="G34" s="8"/>
      <c r="H34" s="8"/>
      <c r="I34" s="8"/>
      <c r="J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>
      <c r="B35" s="1"/>
      <c r="C35" s="1"/>
      <c r="D35" s="1"/>
      <c r="E35" s="1"/>
      <c r="F35" s="48">
        <f>SUM(402159/0.01)</f>
        <v>40215900</v>
      </c>
      <c r="G35" s="48">
        <f>SUM(501450/0.01)</f>
        <v>50145000</v>
      </c>
      <c r="H35" s="48">
        <f>SUM(297397/0.01)</f>
        <v>29739700</v>
      </c>
      <c r="I35" s="48"/>
      <c r="J35" s="48"/>
      <c r="K35" s="48"/>
      <c r="L35" s="48"/>
      <c r="M35" s="48"/>
      <c r="N35" s="48"/>
      <c r="O35" s="48"/>
      <c r="P35" s="49"/>
      <c r="Q35" s="49"/>
      <c r="R35" s="49"/>
      <c r="S35" s="49"/>
      <c r="T35" s="49"/>
      <c r="U35" s="49"/>
      <c r="V35" s="49"/>
      <c r="W35" s="49"/>
      <c r="X35" s="49"/>
    </row>
    <row r="36" spans="1:24">
      <c r="A36" t="s">
        <v>29</v>
      </c>
      <c r="B36" s="1"/>
      <c r="C36" s="1"/>
      <c r="D36" s="1"/>
      <c r="E36" s="28">
        <v>56572946</v>
      </c>
      <c r="F36" s="48"/>
      <c r="G36" s="48"/>
      <c r="H36" s="48">
        <v>34921500</v>
      </c>
      <c r="I36" s="48">
        <v>48072400</v>
      </c>
      <c r="J36" s="48">
        <v>50054000</v>
      </c>
      <c r="K36" s="48">
        <v>45937300</v>
      </c>
      <c r="L36" s="48">
        <v>43301300</v>
      </c>
      <c r="M36" s="48">
        <v>42249500</v>
      </c>
      <c r="N36" s="48">
        <v>43167000</v>
      </c>
      <c r="O36" s="48">
        <v>23766100</v>
      </c>
      <c r="P36" s="49">
        <v>73949347</v>
      </c>
      <c r="Q36" s="49">
        <v>79007254</v>
      </c>
      <c r="R36" s="49">
        <v>89545828</v>
      </c>
      <c r="S36" s="49">
        <v>111098004</v>
      </c>
      <c r="T36" s="49">
        <v>110832027</v>
      </c>
      <c r="U36" s="49">
        <v>120965643</v>
      </c>
      <c r="V36" s="49">
        <v>136401992</v>
      </c>
      <c r="W36" s="49">
        <v>161616503</v>
      </c>
      <c r="X36" s="49">
        <v>168210279</v>
      </c>
    </row>
    <row r="37" spans="1:24">
      <c r="A37" t="s">
        <v>32</v>
      </c>
      <c r="B37" s="2"/>
      <c r="C37" s="2"/>
      <c r="D37" s="2"/>
      <c r="E37" s="31">
        <v>7346604</v>
      </c>
      <c r="F37" s="39"/>
      <c r="G37" s="39"/>
      <c r="H37" s="39">
        <v>25659000</v>
      </c>
      <c r="I37" s="39">
        <v>49761700</v>
      </c>
      <c r="J37" s="39">
        <v>42732500</v>
      </c>
      <c r="K37" s="39">
        <v>44722800</v>
      </c>
      <c r="L37" s="39">
        <v>45779100</v>
      </c>
      <c r="M37" s="39">
        <v>46026200</v>
      </c>
      <c r="N37" s="39">
        <v>46865300</v>
      </c>
      <c r="O37" s="39">
        <v>29574200</v>
      </c>
      <c r="P37" s="44">
        <v>146397980</v>
      </c>
      <c r="Q37" s="44">
        <v>152105111</v>
      </c>
      <c r="R37" s="44">
        <v>161969750</v>
      </c>
      <c r="S37" s="44">
        <v>75746130</v>
      </c>
      <c r="T37" s="44">
        <v>84566289</v>
      </c>
      <c r="U37" s="44">
        <v>107385854</v>
      </c>
      <c r="V37" s="44">
        <v>121710477</v>
      </c>
      <c r="W37" s="44">
        <v>160198561</v>
      </c>
      <c r="X37" s="44">
        <v>176169673</v>
      </c>
    </row>
    <row r="38" spans="1:24">
      <c r="A38" s="18" t="s">
        <v>97</v>
      </c>
      <c r="B38" s="1"/>
      <c r="C38" s="1"/>
      <c r="D38" s="1"/>
      <c r="E38" s="8">
        <f>SUM(E35:E37)</f>
        <v>63919550</v>
      </c>
      <c r="F38" s="8">
        <f t="shared" ref="F38:X38" si="8">SUM(F35:F37)</f>
        <v>40215900</v>
      </c>
      <c r="G38" s="8">
        <f t="shared" si="8"/>
        <v>50145000</v>
      </c>
      <c r="H38" s="8">
        <f t="shared" si="8"/>
        <v>90320200</v>
      </c>
      <c r="I38" s="8">
        <f t="shared" si="8"/>
        <v>97834100</v>
      </c>
      <c r="J38" s="8">
        <f t="shared" si="8"/>
        <v>92786500</v>
      </c>
      <c r="K38" s="8">
        <f t="shared" si="8"/>
        <v>90660100</v>
      </c>
      <c r="L38" s="8">
        <f t="shared" si="8"/>
        <v>89080400</v>
      </c>
      <c r="M38" s="8">
        <f t="shared" si="8"/>
        <v>88275700</v>
      </c>
      <c r="N38" s="8">
        <f t="shared" si="8"/>
        <v>90032300</v>
      </c>
      <c r="O38" s="8">
        <f t="shared" si="8"/>
        <v>53340300</v>
      </c>
      <c r="P38" s="8">
        <f t="shared" si="8"/>
        <v>220347327</v>
      </c>
      <c r="Q38" s="8">
        <f t="shared" si="8"/>
        <v>231112365</v>
      </c>
      <c r="R38" s="8">
        <f t="shared" si="8"/>
        <v>251515578</v>
      </c>
      <c r="S38" s="8">
        <f t="shared" si="8"/>
        <v>186844134</v>
      </c>
      <c r="T38" s="8">
        <f t="shared" si="8"/>
        <v>195398316</v>
      </c>
      <c r="U38" s="8">
        <f t="shared" si="8"/>
        <v>228351497</v>
      </c>
      <c r="V38" s="8">
        <f t="shared" si="8"/>
        <v>258112469</v>
      </c>
      <c r="W38" s="8">
        <f t="shared" si="8"/>
        <v>321815064</v>
      </c>
      <c r="X38" s="8">
        <f t="shared" si="8"/>
        <v>344379952</v>
      </c>
    </row>
    <row r="39" spans="1:24" ht="9" customHeight="1">
      <c r="A39" s="18"/>
      <c r="B39" s="1"/>
      <c r="C39" s="1"/>
      <c r="D39" s="1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>
      <c r="A40" s="18" t="s">
        <v>98</v>
      </c>
      <c r="B40" s="1"/>
      <c r="C40" s="1"/>
      <c r="D40" s="1"/>
      <c r="E40" s="8">
        <v>63919550</v>
      </c>
      <c r="F40" s="8">
        <v>63919550</v>
      </c>
      <c r="G40" s="8">
        <v>63919550</v>
      </c>
      <c r="H40" s="8">
        <v>63919550</v>
      </c>
      <c r="I40" s="8">
        <v>63919550</v>
      </c>
      <c r="J40" s="8">
        <v>63919550</v>
      </c>
      <c r="K40" s="8">
        <v>63919550</v>
      </c>
      <c r="L40" s="8">
        <v>63919550</v>
      </c>
      <c r="M40" s="8">
        <v>63919550</v>
      </c>
      <c r="N40" s="8">
        <v>63919550</v>
      </c>
      <c r="O40" s="8">
        <v>63919550</v>
      </c>
      <c r="P40" s="8">
        <v>63919550</v>
      </c>
      <c r="Q40" s="8">
        <v>63919550</v>
      </c>
      <c r="R40" s="8">
        <v>63919550</v>
      </c>
      <c r="S40" s="8">
        <v>63919550</v>
      </c>
      <c r="T40" s="8">
        <v>63919550</v>
      </c>
      <c r="U40" s="8">
        <v>63919550</v>
      </c>
      <c r="V40" s="8">
        <v>63919550</v>
      </c>
      <c r="W40" s="8">
        <v>63919550</v>
      </c>
      <c r="X40" s="8">
        <v>63919550</v>
      </c>
    </row>
    <row r="41" spans="1:24" ht="7.5" customHeight="1">
      <c r="A41" s="18"/>
      <c r="B41" s="1"/>
      <c r="C41" s="1"/>
      <c r="D41" s="1"/>
      <c r="E41" s="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s="3" customFormat="1">
      <c r="A42" s="52" t="s">
        <v>100</v>
      </c>
      <c r="B42" s="55"/>
      <c r="C42" s="55"/>
      <c r="D42" s="55"/>
      <c r="E42" s="53">
        <v>63919550</v>
      </c>
      <c r="F42" s="55">
        <f>SUM(F38+F40)</f>
        <v>104135450</v>
      </c>
      <c r="G42" s="55">
        <f t="shared" ref="G42:X42" si="9">SUM(G38+G40)</f>
        <v>114064550</v>
      </c>
      <c r="H42" s="55">
        <f t="shared" si="9"/>
        <v>154239750</v>
      </c>
      <c r="I42" s="55">
        <f t="shared" si="9"/>
        <v>161753650</v>
      </c>
      <c r="J42" s="55">
        <f t="shared" si="9"/>
        <v>156706050</v>
      </c>
      <c r="K42" s="55">
        <f t="shared" si="9"/>
        <v>154579650</v>
      </c>
      <c r="L42" s="55">
        <f t="shared" si="9"/>
        <v>152999950</v>
      </c>
      <c r="M42" s="55">
        <f t="shared" si="9"/>
        <v>152195250</v>
      </c>
      <c r="N42" s="55">
        <f t="shared" si="9"/>
        <v>153951850</v>
      </c>
      <c r="O42" s="55">
        <f t="shared" si="9"/>
        <v>117259850</v>
      </c>
      <c r="P42" s="55">
        <f t="shared" si="9"/>
        <v>284266877</v>
      </c>
      <c r="Q42" s="55">
        <f t="shared" si="9"/>
        <v>295031915</v>
      </c>
      <c r="R42" s="55">
        <f t="shared" si="9"/>
        <v>315435128</v>
      </c>
      <c r="S42" s="55">
        <f t="shared" si="9"/>
        <v>250763684</v>
      </c>
      <c r="T42" s="55">
        <f t="shared" si="9"/>
        <v>259317866</v>
      </c>
      <c r="U42" s="55">
        <f t="shared" si="9"/>
        <v>292271047</v>
      </c>
      <c r="V42" s="55">
        <f t="shared" si="9"/>
        <v>322032019</v>
      </c>
      <c r="W42" s="55">
        <f t="shared" si="9"/>
        <v>385734614</v>
      </c>
      <c r="X42" s="56">
        <f t="shared" si="9"/>
        <v>408299502</v>
      </c>
    </row>
    <row r="43" spans="1:24">
      <c r="B43" s="1"/>
      <c r="C43" s="1"/>
      <c r="D43" s="1"/>
      <c r="E43" s="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>
      <c r="A44" t="s">
        <v>31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31">
        <v>870519734</v>
      </c>
      <c r="M44" s="39">
        <f>SUM(356310/0.01)</f>
        <v>35631000</v>
      </c>
      <c r="N44" s="39">
        <f>SUM(508101/0.01)</f>
        <v>50810100</v>
      </c>
      <c r="O44" s="39">
        <f>SUM(4959594/0.01)</f>
        <v>495959400</v>
      </c>
      <c r="P44" s="44">
        <v>285639092</v>
      </c>
      <c r="Q44" s="44">
        <v>456851073</v>
      </c>
      <c r="R44" s="50">
        <v>630742001</v>
      </c>
      <c r="S44" s="44">
        <v>737177257</v>
      </c>
      <c r="T44" s="44">
        <v>899201169</v>
      </c>
      <c r="U44" s="44">
        <v>1160014082</v>
      </c>
      <c r="V44" s="44">
        <v>1582084332</v>
      </c>
      <c r="W44" s="44">
        <v>2023901475</v>
      </c>
      <c r="X44" s="44">
        <v>2253413961</v>
      </c>
    </row>
    <row r="45" spans="1:24">
      <c r="A45" s="18" t="s">
        <v>97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>
        <f>SUM(L44)</f>
        <v>870519734</v>
      </c>
      <c r="M45" s="1">
        <f t="shared" ref="M45:X45" si="10">SUM(M44)</f>
        <v>35631000</v>
      </c>
      <c r="N45" s="1">
        <f t="shared" si="10"/>
        <v>50810100</v>
      </c>
      <c r="O45" s="1">
        <f t="shared" si="10"/>
        <v>495959400</v>
      </c>
      <c r="P45" s="1">
        <f t="shared" si="10"/>
        <v>285639092</v>
      </c>
      <c r="Q45" s="1">
        <f t="shared" si="10"/>
        <v>456851073</v>
      </c>
      <c r="R45" s="1">
        <f t="shared" si="10"/>
        <v>630742001</v>
      </c>
      <c r="S45" s="1">
        <f t="shared" si="10"/>
        <v>737177257</v>
      </c>
      <c r="T45" s="1">
        <f t="shared" si="10"/>
        <v>899201169</v>
      </c>
      <c r="U45" s="1">
        <f t="shared" si="10"/>
        <v>1160014082</v>
      </c>
      <c r="V45" s="1">
        <f t="shared" si="10"/>
        <v>1582084332</v>
      </c>
      <c r="W45" s="1">
        <f t="shared" si="10"/>
        <v>2023901475</v>
      </c>
      <c r="X45" s="1">
        <f t="shared" si="10"/>
        <v>2253413961</v>
      </c>
    </row>
    <row r="46" spans="1:24" ht="6.75" customHeight="1">
      <c r="A46" s="18"/>
    </row>
    <row r="47" spans="1:24">
      <c r="A47" s="18" t="s">
        <v>98</v>
      </c>
      <c r="L47" s="1">
        <v>870519734</v>
      </c>
      <c r="M47" s="1">
        <v>870519734</v>
      </c>
      <c r="N47" s="1">
        <v>870519734</v>
      </c>
      <c r="O47" s="1">
        <v>870519734</v>
      </c>
      <c r="P47" s="1">
        <v>870519734</v>
      </c>
      <c r="Q47" s="1">
        <v>870519734</v>
      </c>
      <c r="R47" s="1">
        <v>870519734</v>
      </c>
      <c r="S47" s="1">
        <v>870519734</v>
      </c>
      <c r="T47" s="1">
        <v>870519734</v>
      </c>
      <c r="U47" s="1">
        <v>870519734</v>
      </c>
      <c r="V47" s="1">
        <v>870519734</v>
      </c>
      <c r="W47" s="1">
        <v>870519734</v>
      </c>
      <c r="X47" s="1">
        <v>870519734</v>
      </c>
    </row>
    <row r="48" spans="1:24" ht="8.25" customHeight="1">
      <c r="A48" s="18"/>
    </row>
    <row r="49" spans="1:24" s="3" customFormat="1">
      <c r="A49" s="52" t="s">
        <v>100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5">
        <v>870519734</v>
      </c>
      <c r="M49" s="55">
        <f>SUM(M45+M47)</f>
        <v>906150734</v>
      </c>
      <c r="N49" s="55">
        <f t="shared" ref="N49:X49" si="11">SUM(N45+N47)</f>
        <v>921329834</v>
      </c>
      <c r="O49" s="55">
        <f t="shared" si="11"/>
        <v>1366479134</v>
      </c>
      <c r="P49" s="55">
        <f t="shared" si="11"/>
        <v>1156158826</v>
      </c>
      <c r="Q49" s="55">
        <f t="shared" si="11"/>
        <v>1327370807</v>
      </c>
      <c r="R49" s="55">
        <f t="shared" si="11"/>
        <v>1501261735</v>
      </c>
      <c r="S49" s="55">
        <f t="shared" si="11"/>
        <v>1607696991</v>
      </c>
      <c r="T49" s="55">
        <f t="shared" si="11"/>
        <v>1769720903</v>
      </c>
      <c r="U49" s="55">
        <f t="shared" si="11"/>
        <v>2030533816</v>
      </c>
      <c r="V49" s="55">
        <f t="shared" si="11"/>
        <v>2452604066</v>
      </c>
      <c r="W49" s="55">
        <f t="shared" si="11"/>
        <v>2894421209</v>
      </c>
      <c r="X49" s="56">
        <f t="shared" si="11"/>
        <v>3123933695</v>
      </c>
    </row>
    <row r="51" spans="1:24" ht="15.75" thickBot="1"/>
    <row r="52" spans="1:24" s="3" customFormat="1" ht="15.75" thickBot="1">
      <c r="A52" s="59" t="s">
        <v>101</v>
      </c>
      <c r="B52" s="60">
        <f>SUM(B10+B19+B26+B33+B42+B49)</f>
        <v>20431414</v>
      </c>
      <c r="C52" s="60">
        <f t="shared" ref="C52:X52" si="12">SUM(C10+C19+C26+C33+C42+C49)</f>
        <v>82849117</v>
      </c>
      <c r="D52" s="60">
        <f t="shared" si="12"/>
        <v>151843691</v>
      </c>
      <c r="E52" s="60">
        <f t="shared" si="12"/>
        <v>269509401</v>
      </c>
      <c r="F52" s="60">
        <f t="shared" si="12"/>
        <v>356480895</v>
      </c>
      <c r="G52" s="60">
        <f t="shared" si="12"/>
        <v>435977318</v>
      </c>
      <c r="H52" s="60">
        <f t="shared" si="12"/>
        <v>550395009</v>
      </c>
      <c r="I52" s="60">
        <f t="shared" si="12"/>
        <v>569407179</v>
      </c>
      <c r="J52" s="60">
        <f t="shared" si="12"/>
        <v>532447839</v>
      </c>
      <c r="K52" s="60">
        <f t="shared" si="12"/>
        <v>614562021</v>
      </c>
      <c r="L52" s="60">
        <f t="shared" si="12"/>
        <v>1534373384</v>
      </c>
      <c r="M52" s="60">
        <f t="shared" si="12"/>
        <v>1562138635</v>
      </c>
      <c r="N52" s="60">
        <f t="shared" si="12"/>
        <v>1587153235</v>
      </c>
      <c r="O52" s="60">
        <f t="shared" si="12"/>
        <v>1923900535</v>
      </c>
      <c r="P52" s="60">
        <f t="shared" si="12"/>
        <v>2145563766</v>
      </c>
      <c r="Q52" s="60">
        <f t="shared" si="12"/>
        <v>2414111769</v>
      </c>
      <c r="R52" s="60">
        <f t="shared" si="12"/>
        <v>2658359176</v>
      </c>
      <c r="S52" s="60">
        <f t="shared" si="12"/>
        <v>2746933234</v>
      </c>
      <c r="T52" s="60">
        <f t="shared" si="12"/>
        <v>2927013977</v>
      </c>
      <c r="U52" s="60">
        <f t="shared" si="12"/>
        <v>3274653462</v>
      </c>
      <c r="V52" s="60">
        <f t="shared" si="12"/>
        <v>3771766283</v>
      </c>
      <c r="W52" s="60">
        <f t="shared" si="12"/>
        <v>4378384235</v>
      </c>
      <c r="X52" s="61">
        <f t="shared" si="12"/>
        <v>4699769958</v>
      </c>
    </row>
    <row r="53" spans="1:24">
      <c r="A53" s="3"/>
    </row>
    <row r="54" spans="1:24">
      <c r="A54" s="3"/>
    </row>
    <row r="55" spans="1:24">
      <c r="A55" s="3"/>
    </row>
    <row r="56" spans="1:24">
      <c r="B56" s="30"/>
      <c r="C56" t="s">
        <v>102</v>
      </c>
    </row>
    <row r="58" spans="1:24">
      <c r="B58" s="34"/>
      <c r="C58" s="7" t="s">
        <v>33</v>
      </c>
    </row>
    <row r="60" spans="1:24">
      <c r="B60" s="42"/>
      <c r="C60" t="s">
        <v>103</v>
      </c>
    </row>
    <row r="62" spans="1:24">
      <c r="B62" s="46"/>
      <c r="C62" t="s">
        <v>104</v>
      </c>
    </row>
    <row r="65" spans="1:24">
      <c r="A65" s="64" t="s">
        <v>105</v>
      </c>
      <c r="O65" s="11"/>
      <c r="P65" s="11"/>
      <c r="Q65" s="11"/>
    </row>
    <row r="66" spans="1:24"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I66" s="4" t="s">
        <v>9</v>
      </c>
      <c r="J66" s="4" t="s">
        <v>10</v>
      </c>
      <c r="K66" s="4" t="s">
        <v>11</v>
      </c>
      <c r="L66" s="4" t="s">
        <v>12</v>
      </c>
      <c r="M66" s="4" t="s">
        <v>13</v>
      </c>
      <c r="N66" s="4" t="s">
        <v>14</v>
      </c>
      <c r="O66" s="4" t="s">
        <v>15</v>
      </c>
      <c r="P66" s="4" t="s">
        <v>16</v>
      </c>
      <c r="Q66" s="5" t="s">
        <v>17</v>
      </c>
      <c r="R66" s="6" t="s">
        <v>18</v>
      </c>
      <c r="S66" s="6" t="s">
        <v>19</v>
      </c>
      <c r="T66" s="6" t="s">
        <v>20</v>
      </c>
      <c r="U66" s="6" t="s">
        <v>21</v>
      </c>
      <c r="V66" s="6" t="s">
        <v>22</v>
      </c>
      <c r="W66" s="5" t="s">
        <v>24</v>
      </c>
      <c r="X66" s="6" t="s">
        <v>23</v>
      </c>
    </row>
    <row r="67" spans="1:24">
      <c r="B67" s="1">
        <f>SUM(B8)</f>
        <v>20431414</v>
      </c>
      <c r="C67" s="1">
        <f>SUM(C15)</f>
        <v>56713803</v>
      </c>
      <c r="D67" s="1">
        <f>SUM(D22)</f>
        <v>47687574</v>
      </c>
      <c r="E67" s="1">
        <f>SUM(E38+E29)</f>
        <v>106259310</v>
      </c>
      <c r="L67" s="1">
        <f>SUM(L44)</f>
        <v>870519734</v>
      </c>
      <c r="N67" s="1"/>
    </row>
  </sheetData>
  <pageMargins left="0.25" right="0.25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X60"/>
  <sheetViews>
    <sheetView topLeftCell="A7" workbookViewId="0">
      <selection activeCell="A46" sqref="A46:XFD74"/>
    </sheetView>
  </sheetViews>
  <sheetFormatPr defaultRowHeight="15"/>
  <cols>
    <col min="1" max="1" width="23.140625" customWidth="1"/>
    <col min="2" max="2" width="14.140625" customWidth="1"/>
    <col min="3" max="3" width="12.85546875" customWidth="1"/>
    <col min="4" max="5" width="12.7109375" customWidth="1"/>
    <col min="6" max="6" width="12.28515625" customWidth="1"/>
    <col min="7" max="7" width="13.140625" customWidth="1"/>
    <col min="8" max="8" width="14" customWidth="1"/>
    <col min="9" max="9" width="13.42578125" customWidth="1"/>
    <col min="10" max="10" width="13.140625" customWidth="1"/>
    <col min="11" max="11" width="13.85546875" customWidth="1"/>
    <col min="12" max="12" width="14" customWidth="1"/>
    <col min="13" max="13" width="13.7109375" customWidth="1"/>
    <col min="14" max="14" width="12.140625" customWidth="1"/>
    <col min="15" max="15" width="13" customWidth="1"/>
    <col min="16" max="16" width="13.5703125" customWidth="1"/>
    <col min="17" max="17" width="12" customWidth="1"/>
    <col min="18" max="18" width="14.28515625" customWidth="1"/>
    <col min="19" max="19" width="14.140625" customWidth="1"/>
    <col min="20" max="21" width="13.85546875" customWidth="1"/>
    <col min="22" max="22" width="12.85546875" customWidth="1"/>
    <col min="23" max="23" width="14" customWidth="1"/>
    <col min="24" max="24" width="14.28515625" customWidth="1"/>
  </cols>
  <sheetData>
    <row r="3" spans="1:24"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5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5" t="s">
        <v>24</v>
      </c>
      <c r="X3" s="6" t="s">
        <v>23</v>
      </c>
    </row>
    <row r="4" spans="1:24">
      <c r="B4" s="11"/>
      <c r="C4" s="32">
        <f>SUM(39943/0.01)</f>
        <v>3994300</v>
      </c>
      <c r="D4" s="32">
        <f>SUM(135942/0.01)</f>
        <v>13594200</v>
      </c>
      <c r="E4" s="47"/>
      <c r="F4" s="47"/>
      <c r="G4" s="47"/>
      <c r="H4" s="40"/>
      <c r="I4" s="66"/>
      <c r="J4" s="66"/>
      <c r="K4" s="66"/>
      <c r="L4" s="66"/>
      <c r="M4" s="67"/>
      <c r="N4" s="67"/>
      <c r="O4" s="67"/>
      <c r="P4" s="68"/>
      <c r="Q4" s="69"/>
      <c r="R4" s="70"/>
      <c r="S4" s="70"/>
      <c r="T4" s="70"/>
      <c r="U4" s="70"/>
      <c r="V4" s="70"/>
      <c r="W4" s="69"/>
      <c r="X4" s="70"/>
    </row>
    <row r="5" spans="1:24" s="7" customFormat="1">
      <c r="A5" s="7" t="s">
        <v>34</v>
      </c>
      <c r="B5" s="28">
        <v>3592021</v>
      </c>
      <c r="C5" s="34"/>
      <c r="D5" s="34"/>
      <c r="E5" s="47">
        <v>7975716</v>
      </c>
      <c r="F5" s="47">
        <v>8523054</v>
      </c>
      <c r="G5" s="47">
        <v>11347358</v>
      </c>
      <c r="H5" s="47">
        <v>13201784</v>
      </c>
      <c r="I5" s="47">
        <v>14449367</v>
      </c>
      <c r="J5" s="47">
        <v>20227515</v>
      </c>
      <c r="K5" s="47">
        <v>19300205</v>
      </c>
      <c r="L5" s="47">
        <v>18877922</v>
      </c>
      <c r="M5" s="48">
        <f>SUM(246239/0.01)</f>
        <v>24623900</v>
      </c>
      <c r="N5" s="48">
        <f>SUM(241499/0.01)</f>
        <v>24149900</v>
      </c>
      <c r="O5" s="48">
        <f>SUM(284202/0.01)</f>
        <v>28420200</v>
      </c>
      <c r="P5" s="49">
        <v>27294429</v>
      </c>
      <c r="Q5" s="49">
        <v>26838014</v>
      </c>
      <c r="R5" s="49">
        <v>28102071</v>
      </c>
      <c r="S5" s="49">
        <v>26897849</v>
      </c>
      <c r="T5" s="49">
        <v>26849594</v>
      </c>
      <c r="U5" s="49">
        <v>28210675</v>
      </c>
      <c r="V5" s="49">
        <v>29910201</v>
      </c>
      <c r="W5" s="49">
        <v>33606743</v>
      </c>
      <c r="X5" s="49">
        <v>34717123</v>
      </c>
    </row>
    <row r="6" spans="1:24" s="7" customFormat="1">
      <c r="A6" s="7" t="s">
        <v>35</v>
      </c>
      <c r="B6" s="28">
        <v>32384497</v>
      </c>
      <c r="C6" s="32"/>
      <c r="D6" s="32"/>
      <c r="E6" s="47">
        <v>10645383</v>
      </c>
      <c r="F6" s="47">
        <v>20639321</v>
      </c>
      <c r="G6" s="47">
        <v>23820362</v>
      </c>
      <c r="H6" s="47">
        <v>34482473</v>
      </c>
      <c r="I6" s="47">
        <v>37230262</v>
      </c>
      <c r="J6" s="47">
        <v>39695181</v>
      </c>
      <c r="K6" s="47">
        <v>39281838</v>
      </c>
      <c r="L6" s="47">
        <v>38034901</v>
      </c>
      <c r="M6" s="48">
        <f>SUM(347037/0.01)</f>
        <v>34703700</v>
      </c>
      <c r="N6" s="48">
        <f>SUM(325185/0.01)</f>
        <v>32518500</v>
      </c>
      <c r="O6" s="48">
        <f>SUM(312473/0.01)</f>
        <v>31247300</v>
      </c>
      <c r="P6" s="49">
        <v>33275846</v>
      </c>
      <c r="Q6" s="49">
        <v>40355722</v>
      </c>
      <c r="R6" s="49">
        <v>37716279</v>
      </c>
      <c r="S6" s="49">
        <v>41684614</v>
      </c>
      <c r="T6" s="49">
        <v>52931179</v>
      </c>
      <c r="U6" s="49">
        <v>66562853</v>
      </c>
      <c r="V6" s="49">
        <v>80439752</v>
      </c>
      <c r="W6" s="49">
        <v>92542833</v>
      </c>
      <c r="X6" s="49">
        <v>107668732</v>
      </c>
    </row>
    <row r="7" spans="1:24" s="7" customFormat="1">
      <c r="A7" s="7" t="s">
        <v>36</v>
      </c>
      <c r="B7" s="28">
        <v>767974</v>
      </c>
      <c r="C7" s="32"/>
      <c r="D7" s="32"/>
      <c r="E7" s="47">
        <v>-70813</v>
      </c>
      <c r="F7" s="47">
        <v>-68736</v>
      </c>
      <c r="G7" s="47">
        <v>-79766</v>
      </c>
      <c r="H7" s="47">
        <v>-164760</v>
      </c>
      <c r="I7" s="47">
        <v>-137079</v>
      </c>
      <c r="J7" s="47">
        <v>-92717</v>
      </c>
      <c r="K7" s="47">
        <v>2573465</v>
      </c>
      <c r="L7" s="47">
        <v>425269</v>
      </c>
      <c r="M7" s="48">
        <f>SUM(-31/0.01)</f>
        <v>-3100</v>
      </c>
      <c r="N7" s="48">
        <f>SUM(1/0.01)</f>
        <v>100</v>
      </c>
      <c r="O7" s="48">
        <f>SUM(-217/0.01)</f>
        <v>-21700</v>
      </c>
      <c r="P7" s="49">
        <v>42498</v>
      </c>
      <c r="Q7" s="49">
        <v>-10075</v>
      </c>
      <c r="R7" s="49">
        <v>70426</v>
      </c>
      <c r="S7" s="49">
        <v>119244</v>
      </c>
      <c r="T7" s="49">
        <v>161915</v>
      </c>
      <c r="U7" s="49">
        <v>141433</v>
      </c>
      <c r="V7" s="49">
        <v>848133</v>
      </c>
      <c r="W7" s="49">
        <v>1199137</v>
      </c>
      <c r="X7" s="49">
        <v>1242500</v>
      </c>
    </row>
    <row r="8" spans="1:24" s="7" customFormat="1">
      <c r="A8" s="7" t="s">
        <v>37</v>
      </c>
      <c r="B8" s="31">
        <v>2228538</v>
      </c>
      <c r="C8" s="35"/>
      <c r="D8" s="35"/>
      <c r="E8" s="41">
        <v>1041168</v>
      </c>
      <c r="F8" s="41">
        <v>2036338</v>
      </c>
      <c r="G8" s="41">
        <v>2962693</v>
      </c>
      <c r="H8" s="41">
        <v>3123088</v>
      </c>
      <c r="I8" s="41">
        <v>3304727</v>
      </c>
      <c r="J8" s="41">
        <v>3332486</v>
      </c>
      <c r="K8" s="41">
        <v>3187996</v>
      </c>
      <c r="L8" s="41">
        <v>3367800</v>
      </c>
      <c r="M8" s="39">
        <f>SUM(25147/0.01)</f>
        <v>2514700</v>
      </c>
      <c r="N8" s="39">
        <f>SUM(25213/0.01)</f>
        <v>2521300</v>
      </c>
      <c r="O8" s="39">
        <f>SUM(27922/0.01)</f>
        <v>2792200</v>
      </c>
      <c r="P8" s="44">
        <v>3044362</v>
      </c>
      <c r="Q8" s="44">
        <v>3001575</v>
      </c>
      <c r="R8" s="44">
        <v>3335454</v>
      </c>
      <c r="S8" s="44">
        <v>2995567</v>
      </c>
      <c r="T8" s="44">
        <v>3309478</v>
      </c>
      <c r="U8" s="44">
        <v>4312417</v>
      </c>
      <c r="V8" s="44">
        <v>5337365</v>
      </c>
      <c r="W8" s="44">
        <v>5911451</v>
      </c>
      <c r="X8" s="44">
        <v>6023158</v>
      </c>
    </row>
    <row r="9" spans="1:24" s="7" customFormat="1">
      <c r="A9" s="18" t="s">
        <v>97</v>
      </c>
      <c r="B9" s="1">
        <f>SUM(B4:B8)</f>
        <v>38973030</v>
      </c>
      <c r="C9" s="1">
        <f t="shared" ref="C9:X9" si="0">SUM(C4:C8)</f>
        <v>3994300</v>
      </c>
      <c r="D9" s="1">
        <f t="shared" si="0"/>
        <v>13594200</v>
      </c>
      <c r="E9" s="1">
        <f t="shared" si="0"/>
        <v>19591454</v>
      </c>
      <c r="F9" s="1">
        <f t="shared" si="0"/>
        <v>31129977</v>
      </c>
      <c r="G9" s="1">
        <f t="shared" si="0"/>
        <v>38050647</v>
      </c>
      <c r="H9" s="1">
        <f t="shared" si="0"/>
        <v>50642585</v>
      </c>
      <c r="I9" s="1">
        <f t="shared" si="0"/>
        <v>54847277</v>
      </c>
      <c r="J9" s="1">
        <f t="shared" si="0"/>
        <v>63162465</v>
      </c>
      <c r="K9" s="1">
        <f t="shared" si="0"/>
        <v>64343504</v>
      </c>
      <c r="L9" s="1">
        <f t="shared" si="0"/>
        <v>60705892</v>
      </c>
      <c r="M9" s="1">
        <f t="shared" si="0"/>
        <v>61839200</v>
      </c>
      <c r="N9" s="1">
        <f t="shared" si="0"/>
        <v>59189800</v>
      </c>
      <c r="O9" s="1">
        <f t="shared" si="0"/>
        <v>62438000</v>
      </c>
      <c r="P9" s="1">
        <f t="shared" si="0"/>
        <v>63657135</v>
      </c>
      <c r="Q9" s="1">
        <f t="shared" si="0"/>
        <v>70185236</v>
      </c>
      <c r="R9" s="1">
        <f t="shared" si="0"/>
        <v>69224230</v>
      </c>
      <c r="S9" s="1">
        <f t="shared" si="0"/>
        <v>71697274</v>
      </c>
      <c r="T9" s="1">
        <f t="shared" si="0"/>
        <v>83252166</v>
      </c>
      <c r="U9" s="1">
        <f t="shared" si="0"/>
        <v>99227378</v>
      </c>
      <c r="V9" s="1">
        <f t="shared" si="0"/>
        <v>116535451</v>
      </c>
      <c r="W9" s="1">
        <f t="shared" si="0"/>
        <v>133260164</v>
      </c>
      <c r="X9" s="1">
        <f t="shared" si="0"/>
        <v>149651513</v>
      </c>
    </row>
    <row r="10" spans="1:24" s="7" customFormat="1">
      <c r="A10" s="18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7" customFormat="1">
      <c r="A11" s="18" t="s">
        <v>98</v>
      </c>
      <c r="B11" s="1">
        <v>38973030</v>
      </c>
      <c r="C11" s="1">
        <v>38973030</v>
      </c>
      <c r="D11" s="1">
        <v>38973030</v>
      </c>
      <c r="E11" s="1">
        <v>38973030</v>
      </c>
      <c r="F11" s="1">
        <v>38973030</v>
      </c>
      <c r="G11" s="1">
        <v>38973030</v>
      </c>
      <c r="H11" s="1">
        <v>38973030</v>
      </c>
      <c r="I11" s="1">
        <v>38973030</v>
      </c>
      <c r="J11" s="1">
        <v>38973030</v>
      </c>
      <c r="K11" s="1">
        <v>38973030</v>
      </c>
      <c r="L11" s="1">
        <v>38973030</v>
      </c>
      <c r="M11" s="1">
        <v>38973030</v>
      </c>
      <c r="N11" s="1">
        <v>38973030</v>
      </c>
      <c r="O11" s="1">
        <v>38973030</v>
      </c>
      <c r="P11" s="1">
        <v>38973030</v>
      </c>
      <c r="Q11" s="1">
        <v>38973030</v>
      </c>
      <c r="R11" s="1">
        <v>38973030</v>
      </c>
      <c r="S11" s="1">
        <v>38973030</v>
      </c>
      <c r="T11" s="1">
        <v>38973030</v>
      </c>
      <c r="U11" s="1">
        <v>38973030</v>
      </c>
      <c r="V11" s="1">
        <v>38973030</v>
      </c>
      <c r="W11" s="1">
        <v>38973030</v>
      </c>
      <c r="X11" s="1">
        <v>38973030</v>
      </c>
    </row>
    <row r="12" spans="1:24" s="7" customFormat="1">
      <c r="A12" s="18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7" customFormat="1">
      <c r="A13" s="52" t="s">
        <v>100</v>
      </c>
      <c r="B13" s="55">
        <v>38973030</v>
      </c>
      <c r="C13" s="55">
        <f>SUM(C9+C11)</f>
        <v>42967330</v>
      </c>
      <c r="D13" s="55">
        <f t="shared" ref="D13:X13" si="1">SUM(D9+D11)</f>
        <v>52567230</v>
      </c>
      <c r="E13" s="55">
        <f t="shared" si="1"/>
        <v>58564484</v>
      </c>
      <c r="F13" s="55">
        <f t="shared" si="1"/>
        <v>70103007</v>
      </c>
      <c r="G13" s="55">
        <f t="shared" si="1"/>
        <v>77023677</v>
      </c>
      <c r="H13" s="55">
        <f t="shared" si="1"/>
        <v>89615615</v>
      </c>
      <c r="I13" s="55">
        <f t="shared" si="1"/>
        <v>93820307</v>
      </c>
      <c r="J13" s="55">
        <f t="shared" si="1"/>
        <v>102135495</v>
      </c>
      <c r="K13" s="55">
        <f t="shared" si="1"/>
        <v>103316534</v>
      </c>
      <c r="L13" s="55">
        <f t="shared" si="1"/>
        <v>99678922</v>
      </c>
      <c r="M13" s="55">
        <f t="shared" si="1"/>
        <v>100812230</v>
      </c>
      <c r="N13" s="55">
        <f t="shared" si="1"/>
        <v>98162830</v>
      </c>
      <c r="O13" s="55">
        <f t="shared" si="1"/>
        <v>101411030</v>
      </c>
      <c r="P13" s="55">
        <f t="shared" si="1"/>
        <v>102630165</v>
      </c>
      <c r="Q13" s="55">
        <f t="shared" si="1"/>
        <v>109158266</v>
      </c>
      <c r="R13" s="55">
        <f t="shared" si="1"/>
        <v>108197260</v>
      </c>
      <c r="S13" s="55">
        <f t="shared" si="1"/>
        <v>110670304</v>
      </c>
      <c r="T13" s="55">
        <f t="shared" si="1"/>
        <v>122225196</v>
      </c>
      <c r="U13" s="55">
        <f t="shared" si="1"/>
        <v>138200408</v>
      </c>
      <c r="V13" s="55">
        <f t="shared" si="1"/>
        <v>155508481</v>
      </c>
      <c r="W13" s="55">
        <f t="shared" si="1"/>
        <v>172233194</v>
      </c>
      <c r="X13" s="55">
        <f t="shared" si="1"/>
        <v>188624543</v>
      </c>
    </row>
    <row r="14" spans="1:24" s="7" customForma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s="7" customFormat="1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>
      <c r="A16" t="s">
        <v>38</v>
      </c>
      <c r="B16" s="31">
        <v>4583929</v>
      </c>
      <c r="C16" s="26"/>
      <c r="D16" s="26"/>
      <c r="E16" s="41">
        <v>1535683</v>
      </c>
      <c r="F16" s="41">
        <v>2340078</v>
      </c>
      <c r="G16" s="41">
        <v>2539444</v>
      </c>
      <c r="H16" s="41">
        <v>2708199</v>
      </c>
      <c r="I16" s="41">
        <v>3016077</v>
      </c>
      <c r="J16" s="41">
        <v>3199965</v>
      </c>
      <c r="K16" s="41">
        <v>3327003</v>
      </c>
      <c r="L16" s="41">
        <v>3411623</v>
      </c>
      <c r="M16" s="39">
        <f>SUM(28016/0.01)</f>
        <v>2801600</v>
      </c>
      <c r="N16" s="39">
        <f>SUM(29001/0.01)</f>
        <v>2900100</v>
      </c>
      <c r="O16" s="39">
        <f>SUM(31083/0.01)</f>
        <v>3108300</v>
      </c>
      <c r="P16" s="44">
        <v>3457448</v>
      </c>
      <c r="Q16" s="44">
        <v>3326665</v>
      </c>
      <c r="R16" s="44">
        <v>3719920</v>
      </c>
      <c r="S16" s="44">
        <v>4324109</v>
      </c>
      <c r="T16" s="44">
        <v>6273639</v>
      </c>
      <c r="U16" s="44">
        <v>6849662</v>
      </c>
      <c r="V16" s="44">
        <v>7991494</v>
      </c>
      <c r="W16" s="44">
        <v>10134459</v>
      </c>
      <c r="X16" s="44">
        <v>10496878</v>
      </c>
    </row>
    <row r="17" spans="1:24" s="7" customFormat="1">
      <c r="A17" s="18" t="s">
        <v>97</v>
      </c>
      <c r="B17" s="1">
        <f>SUM(B16)</f>
        <v>4583929</v>
      </c>
      <c r="C17" s="1">
        <f t="shared" ref="C17:X17" si="2">SUM(C16)</f>
        <v>0</v>
      </c>
      <c r="D17" s="1">
        <f t="shared" si="2"/>
        <v>0</v>
      </c>
      <c r="E17" s="1">
        <f t="shared" si="2"/>
        <v>1535683</v>
      </c>
      <c r="F17" s="1">
        <f t="shared" si="2"/>
        <v>2340078</v>
      </c>
      <c r="G17" s="1">
        <f t="shared" si="2"/>
        <v>2539444</v>
      </c>
      <c r="H17" s="1">
        <f t="shared" si="2"/>
        <v>2708199</v>
      </c>
      <c r="I17" s="1">
        <f t="shared" si="2"/>
        <v>3016077</v>
      </c>
      <c r="J17" s="1">
        <f t="shared" si="2"/>
        <v>3199965</v>
      </c>
      <c r="K17" s="1">
        <f t="shared" si="2"/>
        <v>3327003</v>
      </c>
      <c r="L17" s="1">
        <f t="shared" si="2"/>
        <v>3411623</v>
      </c>
      <c r="M17" s="1">
        <f t="shared" si="2"/>
        <v>2801600</v>
      </c>
      <c r="N17" s="1">
        <f t="shared" si="2"/>
        <v>2900100</v>
      </c>
      <c r="O17" s="1">
        <f t="shared" si="2"/>
        <v>3108300</v>
      </c>
      <c r="P17" s="1">
        <f t="shared" si="2"/>
        <v>3457448</v>
      </c>
      <c r="Q17" s="1">
        <f t="shared" si="2"/>
        <v>3326665</v>
      </c>
      <c r="R17" s="1">
        <f t="shared" si="2"/>
        <v>3719920</v>
      </c>
      <c r="S17" s="1">
        <f t="shared" si="2"/>
        <v>4324109</v>
      </c>
      <c r="T17" s="1">
        <f t="shared" si="2"/>
        <v>6273639</v>
      </c>
      <c r="U17" s="1">
        <f t="shared" si="2"/>
        <v>6849662</v>
      </c>
      <c r="V17" s="1">
        <f t="shared" si="2"/>
        <v>7991494</v>
      </c>
      <c r="W17" s="1">
        <f t="shared" si="2"/>
        <v>10134459</v>
      </c>
      <c r="X17" s="1">
        <f t="shared" si="2"/>
        <v>10496878</v>
      </c>
    </row>
    <row r="18" spans="1:24" s="7" customFormat="1">
      <c r="A18" s="18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s="7" customFormat="1">
      <c r="A19" s="18" t="s">
        <v>98</v>
      </c>
      <c r="B19" s="1">
        <v>4583929</v>
      </c>
      <c r="C19" s="1">
        <v>4583929</v>
      </c>
      <c r="D19" s="1">
        <v>4583929</v>
      </c>
      <c r="E19" s="1">
        <v>4583929</v>
      </c>
      <c r="F19" s="1">
        <v>4583929</v>
      </c>
      <c r="G19" s="1">
        <v>4583929</v>
      </c>
      <c r="H19" s="1">
        <v>4583929</v>
      </c>
      <c r="I19" s="1">
        <v>4583929</v>
      </c>
      <c r="J19" s="1">
        <v>4583929</v>
      </c>
      <c r="K19" s="1">
        <v>4583929</v>
      </c>
      <c r="L19" s="1">
        <v>4583929</v>
      </c>
      <c r="M19" s="1">
        <v>4583929</v>
      </c>
      <c r="N19" s="1">
        <v>4583929</v>
      </c>
      <c r="O19" s="1">
        <v>4583929</v>
      </c>
      <c r="P19" s="1">
        <v>4583929</v>
      </c>
      <c r="Q19" s="1">
        <v>4583929</v>
      </c>
      <c r="R19" s="1">
        <v>4583929</v>
      </c>
      <c r="S19" s="1">
        <v>4583929</v>
      </c>
      <c r="T19" s="1">
        <v>4583929</v>
      </c>
      <c r="U19" s="1">
        <v>4583929</v>
      </c>
      <c r="V19" s="1">
        <v>4583929</v>
      </c>
      <c r="W19" s="1">
        <v>4583929</v>
      </c>
      <c r="X19" s="1">
        <v>4583929</v>
      </c>
    </row>
    <row r="20" spans="1:24" s="7" customFormat="1">
      <c r="A20" s="18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7" customFormat="1">
      <c r="A21" s="52" t="s">
        <v>100</v>
      </c>
      <c r="B21" s="55">
        <v>4583929</v>
      </c>
      <c r="C21" s="55">
        <f>SUM(C19+C17)</f>
        <v>4583929</v>
      </c>
      <c r="D21" s="55">
        <f t="shared" ref="D21:X21" si="3">SUM(D19+D17)</f>
        <v>4583929</v>
      </c>
      <c r="E21" s="55">
        <f t="shared" si="3"/>
        <v>6119612</v>
      </c>
      <c r="F21" s="55">
        <f t="shared" si="3"/>
        <v>6924007</v>
      </c>
      <c r="G21" s="55">
        <f t="shared" si="3"/>
        <v>7123373</v>
      </c>
      <c r="H21" s="55">
        <f t="shared" si="3"/>
        <v>7292128</v>
      </c>
      <c r="I21" s="55">
        <f t="shared" si="3"/>
        <v>7600006</v>
      </c>
      <c r="J21" s="55">
        <f t="shared" si="3"/>
        <v>7783894</v>
      </c>
      <c r="K21" s="55">
        <f t="shared" si="3"/>
        <v>7910932</v>
      </c>
      <c r="L21" s="55">
        <f t="shared" si="3"/>
        <v>7995552</v>
      </c>
      <c r="M21" s="55">
        <f t="shared" si="3"/>
        <v>7385529</v>
      </c>
      <c r="N21" s="55">
        <f t="shared" si="3"/>
        <v>7484029</v>
      </c>
      <c r="O21" s="55">
        <f t="shared" si="3"/>
        <v>7692229</v>
      </c>
      <c r="P21" s="55">
        <f t="shared" si="3"/>
        <v>8041377</v>
      </c>
      <c r="Q21" s="55">
        <f t="shared" si="3"/>
        <v>7910594</v>
      </c>
      <c r="R21" s="55">
        <f t="shared" si="3"/>
        <v>8303849</v>
      </c>
      <c r="S21" s="55">
        <f t="shared" si="3"/>
        <v>8908038</v>
      </c>
      <c r="T21" s="55">
        <f t="shared" si="3"/>
        <v>10857568</v>
      </c>
      <c r="U21" s="55">
        <f t="shared" si="3"/>
        <v>11433591</v>
      </c>
      <c r="V21" s="55">
        <f t="shared" si="3"/>
        <v>12575423</v>
      </c>
      <c r="W21" s="55">
        <f t="shared" si="3"/>
        <v>14718388</v>
      </c>
      <c r="X21" s="55">
        <f t="shared" si="3"/>
        <v>15080807</v>
      </c>
    </row>
    <row r="22" spans="1:24" s="7" customFormat="1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>
      <c r="A23" t="s">
        <v>40</v>
      </c>
      <c r="B23" s="2"/>
      <c r="C23" s="31">
        <v>1801302</v>
      </c>
      <c r="D23" s="26"/>
      <c r="E23" s="26"/>
      <c r="F23" s="26"/>
      <c r="G23" s="39">
        <f>SUM(15067/0.01)</f>
        <v>1506700</v>
      </c>
      <c r="H23" s="39">
        <f>SUM(12723/0.01)</f>
        <v>1272300</v>
      </c>
      <c r="I23" s="39">
        <f>SUM(12028/0.01)</f>
        <v>1202800</v>
      </c>
      <c r="J23" s="39">
        <f>SUM(12816/0.01)</f>
        <v>1281600</v>
      </c>
      <c r="K23" s="39">
        <f>SUM(12855/0.01)</f>
        <v>1285500</v>
      </c>
      <c r="L23" s="39">
        <f>SUM(13236/0.01)</f>
        <v>1323600</v>
      </c>
      <c r="M23" s="39">
        <f>SUM(21223/0.01)</f>
        <v>2122300</v>
      </c>
      <c r="N23" s="39">
        <f>SUM(28182/0.01)</f>
        <v>2818200</v>
      </c>
      <c r="O23" s="39">
        <f>SUM(46712/0.01)</f>
        <v>4671200</v>
      </c>
      <c r="P23" s="44">
        <v>2227116</v>
      </c>
      <c r="Q23" s="44">
        <v>3122701</v>
      </c>
      <c r="R23" s="44">
        <v>4992738</v>
      </c>
      <c r="S23" s="44">
        <v>5346362</v>
      </c>
      <c r="T23" s="44">
        <v>2450495</v>
      </c>
      <c r="U23" s="44">
        <v>6223724</v>
      </c>
      <c r="V23" s="44">
        <v>3218659</v>
      </c>
      <c r="W23" s="44">
        <v>3442342</v>
      </c>
      <c r="X23" s="44">
        <v>3425974</v>
      </c>
    </row>
    <row r="24" spans="1:24" s="7" customFormat="1">
      <c r="A24" s="18" t="s">
        <v>97</v>
      </c>
      <c r="B24" s="1"/>
      <c r="C24" s="1">
        <f>SUM(C23)</f>
        <v>1801302</v>
      </c>
      <c r="D24" s="1">
        <f t="shared" ref="D24:X24" si="4">SUM(D23)</f>
        <v>0</v>
      </c>
      <c r="E24" s="1">
        <f t="shared" si="4"/>
        <v>0</v>
      </c>
      <c r="F24" s="1">
        <f t="shared" si="4"/>
        <v>0</v>
      </c>
      <c r="G24" s="1">
        <f t="shared" si="4"/>
        <v>1506700</v>
      </c>
      <c r="H24" s="1">
        <f t="shared" si="4"/>
        <v>1272300</v>
      </c>
      <c r="I24" s="1">
        <f t="shared" si="4"/>
        <v>1202800</v>
      </c>
      <c r="J24" s="1">
        <f t="shared" si="4"/>
        <v>1281600</v>
      </c>
      <c r="K24" s="1">
        <f t="shared" si="4"/>
        <v>1285500</v>
      </c>
      <c r="L24" s="1">
        <f t="shared" si="4"/>
        <v>1323600</v>
      </c>
      <c r="M24" s="1">
        <f t="shared" si="4"/>
        <v>2122300</v>
      </c>
      <c r="N24" s="1">
        <f t="shared" si="4"/>
        <v>2818200</v>
      </c>
      <c r="O24" s="1">
        <f t="shared" si="4"/>
        <v>4671200</v>
      </c>
      <c r="P24" s="1">
        <f t="shared" si="4"/>
        <v>2227116</v>
      </c>
      <c r="Q24" s="1">
        <f t="shared" si="4"/>
        <v>3122701</v>
      </c>
      <c r="R24" s="1">
        <f t="shared" si="4"/>
        <v>4992738</v>
      </c>
      <c r="S24" s="1">
        <f t="shared" si="4"/>
        <v>5346362</v>
      </c>
      <c r="T24" s="1">
        <f t="shared" si="4"/>
        <v>2450495</v>
      </c>
      <c r="U24" s="1">
        <f t="shared" si="4"/>
        <v>6223724</v>
      </c>
      <c r="V24" s="1">
        <f t="shared" si="4"/>
        <v>3218659</v>
      </c>
      <c r="W24" s="1">
        <f t="shared" si="4"/>
        <v>3442342</v>
      </c>
      <c r="X24" s="1">
        <f t="shared" si="4"/>
        <v>3425974</v>
      </c>
    </row>
    <row r="25" spans="1:24" s="7" customFormat="1">
      <c r="A25" s="18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s="7" customFormat="1">
      <c r="A26" s="18" t="s">
        <v>98</v>
      </c>
      <c r="B26" s="1"/>
      <c r="C26" s="1">
        <v>1801302</v>
      </c>
      <c r="D26" s="1">
        <v>1801302</v>
      </c>
      <c r="E26" s="1">
        <v>1801302</v>
      </c>
      <c r="F26" s="1">
        <v>1801302</v>
      </c>
      <c r="G26" s="1">
        <v>1801302</v>
      </c>
      <c r="H26" s="1">
        <v>1801302</v>
      </c>
      <c r="I26" s="1">
        <v>1801302</v>
      </c>
      <c r="J26" s="1">
        <v>1801302</v>
      </c>
      <c r="K26" s="1">
        <v>1801302</v>
      </c>
      <c r="L26" s="1">
        <v>1801302</v>
      </c>
      <c r="M26" s="1">
        <v>1801302</v>
      </c>
      <c r="N26" s="1">
        <v>1801302</v>
      </c>
      <c r="O26" s="1">
        <v>1801302</v>
      </c>
      <c r="P26" s="1">
        <v>1801302</v>
      </c>
      <c r="Q26" s="1">
        <v>1801302</v>
      </c>
      <c r="R26" s="1">
        <v>1801302</v>
      </c>
      <c r="S26" s="1">
        <v>1801302</v>
      </c>
      <c r="T26" s="1">
        <v>1801302</v>
      </c>
      <c r="U26" s="1">
        <v>1801302</v>
      </c>
      <c r="V26" s="1">
        <v>1801302</v>
      </c>
      <c r="W26" s="1">
        <v>1801302</v>
      </c>
      <c r="X26" s="1">
        <v>1801302</v>
      </c>
    </row>
    <row r="27" spans="1:24" s="7" customFormat="1">
      <c r="A27" s="18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s="7" customFormat="1">
      <c r="A28" s="52" t="s">
        <v>100</v>
      </c>
      <c r="B28" s="55"/>
      <c r="C28" s="55">
        <v>1801302</v>
      </c>
      <c r="D28" s="55">
        <f>SUM(D26+D24)</f>
        <v>1801302</v>
      </c>
      <c r="E28" s="55">
        <f t="shared" ref="E28:X28" si="5">SUM(E26+E24)</f>
        <v>1801302</v>
      </c>
      <c r="F28" s="55">
        <f t="shared" si="5"/>
        <v>1801302</v>
      </c>
      <c r="G28" s="55">
        <f t="shared" si="5"/>
        <v>3308002</v>
      </c>
      <c r="H28" s="55">
        <f t="shared" si="5"/>
        <v>3073602</v>
      </c>
      <c r="I28" s="55">
        <f t="shared" si="5"/>
        <v>3004102</v>
      </c>
      <c r="J28" s="55">
        <f t="shared" si="5"/>
        <v>3082902</v>
      </c>
      <c r="K28" s="55">
        <f t="shared" si="5"/>
        <v>3086802</v>
      </c>
      <c r="L28" s="55">
        <f t="shared" si="5"/>
        <v>3124902</v>
      </c>
      <c r="M28" s="55">
        <f t="shared" si="5"/>
        <v>3923602</v>
      </c>
      <c r="N28" s="55">
        <f t="shared" si="5"/>
        <v>4619502</v>
      </c>
      <c r="O28" s="55">
        <f t="shared" si="5"/>
        <v>6472502</v>
      </c>
      <c r="P28" s="55">
        <f t="shared" si="5"/>
        <v>4028418</v>
      </c>
      <c r="Q28" s="55">
        <f t="shared" si="5"/>
        <v>4924003</v>
      </c>
      <c r="R28" s="55">
        <f t="shared" si="5"/>
        <v>6794040</v>
      </c>
      <c r="S28" s="55">
        <f t="shared" si="5"/>
        <v>7147664</v>
      </c>
      <c r="T28" s="55">
        <f t="shared" si="5"/>
        <v>4251797</v>
      </c>
      <c r="U28" s="55">
        <f t="shared" si="5"/>
        <v>8025026</v>
      </c>
      <c r="V28" s="55">
        <f t="shared" si="5"/>
        <v>5019961</v>
      </c>
      <c r="W28" s="55">
        <f t="shared" si="5"/>
        <v>5243644</v>
      </c>
      <c r="X28" s="55">
        <f t="shared" si="5"/>
        <v>5227276</v>
      </c>
    </row>
    <row r="29" spans="1:24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>
      <c r="A30" t="s">
        <v>41</v>
      </c>
      <c r="B30" s="2"/>
      <c r="C30" s="2"/>
      <c r="D30" s="2"/>
      <c r="E30" s="31">
        <v>21685741</v>
      </c>
      <c r="F30" s="39">
        <f>SUM(99823/0.01)</f>
        <v>9982300</v>
      </c>
      <c r="G30" s="39">
        <f>SUM(170415/0.01)</f>
        <v>17041500</v>
      </c>
      <c r="H30" s="39">
        <f>SUM(438625/0.01)</f>
        <v>43862500</v>
      </c>
      <c r="I30" s="39">
        <f>SUM(433303/0.01)</f>
        <v>43330300</v>
      </c>
      <c r="J30" s="39">
        <f>SUM(914381/0.01)</f>
        <v>91438100</v>
      </c>
      <c r="K30" s="39">
        <f>SUM(717768/0.01)</f>
        <v>71776800</v>
      </c>
      <c r="L30" s="39">
        <v>76286061</v>
      </c>
      <c r="M30" s="39">
        <f>SUM(1263757/0.01)</f>
        <v>126375700</v>
      </c>
      <c r="N30" s="39">
        <f>SUM(1244269/0.01)</f>
        <v>124426900</v>
      </c>
      <c r="O30" s="39">
        <f>SUM(1407579/0.01)</f>
        <v>140757900</v>
      </c>
      <c r="P30" s="44">
        <v>121952033</v>
      </c>
      <c r="Q30" s="44">
        <v>136834743</v>
      </c>
      <c r="R30" s="44">
        <v>141134887</v>
      </c>
      <c r="S30" s="44">
        <v>151255425</v>
      </c>
      <c r="T30" s="44">
        <v>157315356</v>
      </c>
      <c r="U30" s="44">
        <v>174313630</v>
      </c>
      <c r="V30" s="44">
        <v>201250498</v>
      </c>
      <c r="W30" s="44">
        <v>232583935</v>
      </c>
      <c r="X30" s="44">
        <v>265008559</v>
      </c>
    </row>
    <row r="31" spans="1:24" s="7" customFormat="1">
      <c r="A31" s="18" t="s">
        <v>97</v>
      </c>
      <c r="B31" s="1"/>
      <c r="C31" s="1"/>
      <c r="D31" s="1"/>
      <c r="E31" s="1">
        <f>SUM(E30)</f>
        <v>21685741</v>
      </c>
      <c r="F31" s="1">
        <f t="shared" ref="F31:X31" si="6">SUM(F30)</f>
        <v>9982300</v>
      </c>
      <c r="G31" s="1">
        <f t="shared" si="6"/>
        <v>17041500</v>
      </c>
      <c r="H31" s="1">
        <f t="shared" si="6"/>
        <v>43862500</v>
      </c>
      <c r="I31" s="1">
        <f t="shared" si="6"/>
        <v>43330300</v>
      </c>
      <c r="J31" s="1">
        <f t="shared" si="6"/>
        <v>91438100</v>
      </c>
      <c r="K31" s="1">
        <f t="shared" si="6"/>
        <v>71776800</v>
      </c>
      <c r="L31" s="1">
        <f t="shared" si="6"/>
        <v>76286061</v>
      </c>
      <c r="M31" s="1">
        <f t="shared" si="6"/>
        <v>126375700</v>
      </c>
      <c r="N31" s="1">
        <f t="shared" si="6"/>
        <v>124426900</v>
      </c>
      <c r="O31" s="1">
        <f t="shared" si="6"/>
        <v>140757900</v>
      </c>
      <c r="P31" s="1">
        <f t="shared" si="6"/>
        <v>121952033</v>
      </c>
      <c r="Q31" s="1">
        <f t="shared" si="6"/>
        <v>136834743</v>
      </c>
      <c r="R31" s="1">
        <f t="shared" si="6"/>
        <v>141134887</v>
      </c>
      <c r="S31" s="1">
        <f t="shared" si="6"/>
        <v>151255425</v>
      </c>
      <c r="T31" s="1">
        <f t="shared" si="6"/>
        <v>157315356</v>
      </c>
      <c r="U31" s="1">
        <f t="shared" si="6"/>
        <v>174313630</v>
      </c>
      <c r="V31" s="1">
        <f t="shared" si="6"/>
        <v>201250498</v>
      </c>
      <c r="W31" s="1">
        <f t="shared" si="6"/>
        <v>232583935</v>
      </c>
      <c r="X31" s="1">
        <f t="shared" si="6"/>
        <v>265008559</v>
      </c>
    </row>
    <row r="32" spans="1:24" s="7" customFormat="1">
      <c r="A32" s="1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s="7" customFormat="1">
      <c r="A33" s="18" t="s">
        <v>98</v>
      </c>
      <c r="B33" s="1"/>
      <c r="C33" s="1"/>
      <c r="D33" s="1"/>
      <c r="E33" s="1">
        <v>21685741</v>
      </c>
      <c r="F33" s="1">
        <v>21685741</v>
      </c>
      <c r="G33" s="1">
        <v>21685741</v>
      </c>
      <c r="H33" s="1">
        <v>21685741</v>
      </c>
      <c r="I33" s="1">
        <v>21685741</v>
      </c>
      <c r="J33" s="1">
        <v>21685741</v>
      </c>
      <c r="K33" s="1">
        <v>21685741</v>
      </c>
      <c r="L33" s="1">
        <v>21685741</v>
      </c>
      <c r="M33" s="1">
        <v>21685741</v>
      </c>
      <c r="N33" s="1">
        <v>21685741</v>
      </c>
      <c r="O33" s="1">
        <v>21685741</v>
      </c>
      <c r="P33" s="1">
        <v>21685741</v>
      </c>
      <c r="Q33" s="1">
        <v>21685741</v>
      </c>
      <c r="R33" s="1">
        <v>21685741</v>
      </c>
      <c r="S33" s="1">
        <v>21685741</v>
      </c>
      <c r="T33" s="1">
        <v>21685741</v>
      </c>
      <c r="U33" s="1">
        <v>21685741</v>
      </c>
      <c r="V33" s="1">
        <v>21685741</v>
      </c>
      <c r="W33" s="1">
        <v>21685741</v>
      </c>
      <c r="X33" s="1">
        <v>21685741</v>
      </c>
    </row>
    <row r="34" spans="1:24" s="7" customFormat="1">
      <c r="A34" s="1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s="7" customFormat="1">
      <c r="A35" s="52" t="s">
        <v>100</v>
      </c>
      <c r="B35" s="55"/>
      <c r="C35" s="55"/>
      <c r="D35" s="55"/>
      <c r="E35" s="55">
        <v>21685741</v>
      </c>
      <c r="F35" s="55">
        <f>SUM(F33+F31)</f>
        <v>31668041</v>
      </c>
      <c r="G35" s="55">
        <f t="shared" ref="G35:X35" si="7">SUM(G33+G31)</f>
        <v>38727241</v>
      </c>
      <c r="H35" s="55">
        <f t="shared" si="7"/>
        <v>65548241</v>
      </c>
      <c r="I35" s="55">
        <f t="shared" si="7"/>
        <v>65016041</v>
      </c>
      <c r="J35" s="55">
        <f t="shared" si="7"/>
        <v>113123841</v>
      </c>
      <c r="K35" s="55">
        <f t="shared" si="7"/>
        <v>93462541</v>
      </c>
      <c r="L35" s="55">
        <f t="shared" si="7"/>
        <v>97971802</v>
      </c>
      <c r="M35" s="55">
        <f t="shared" si="7"/>
        <v>148061441</v>
      </c>
      <c r="N35" s="55">
        <f t="shared" si="7"/>
        <v>146112641</v>
      </c>
      <c r="O35" s="55">
        <f t="shared" si="7"/>
        <v>162443641</v>
      </c>
      <c r="P35" s="55">
        <f t="shared" si="7"/>
        <v>143637774</v>
      </c>
      <c r="Q35" s="55">
        <f t="shared" si="7"/>
        <v>158520484</v>
      </c>
      <c r="R35" s="55">
        <f t="shared" si="7"/>
        <v>162820628</v>
      </c>
      <c r="S35" s="55">
        <f t="shared" si="7"/>
        <v>172941166</v>
      </c>
      <c r="T35" s="55">
        <f t="shared" si="7"/>
        <v>179001097</v>
      </c>
      <c r="U35" s="55">
        <f t="shared" si="7"/>
        <v>195999371</v>
      </c>
      <c r="V35" s="55">
        <f t="shared" si="7"/>
        <v>222936239</v>
      </c>
      <c r="W35" s="55">
        <f t="shared" si="7"/>
        <v>254269676</v>
      </c>
      <c r="X35" s="55">
        <f t="shared" si="7"/>
        <v>286694300</v>
      </c>
    </row>
    <row r="36" spans="1:24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>
      <c r="A38" t="s">
        <v>39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4"/>
      <c r="M38" s="2"/>
      <c r="N38" s="31">
        <v>59979196</v>
      </c>
      <c r="O38" s="26"/>
      <c r="P38" s="44">
        <v>8411650</v>
      </c>
      <c r="Q38" s="44">
        <v>11444745</v>
      </c>
      <c r="R38" s="44">
        <v>16749234</v>
      </c>
      <c r="S38" s="44">
        <v>22828284</v>
      </c>
      <c r="T38" s="44">
        <v>29644267</v>
      </c>
      <c r="U38" s="44">
        <v>50234734</v>
      </c>
      <c r="V38" s="44">
        <v>72706922</v>
      </c>
      <c r="W38" s="44">
        <v>95844474</v>
      </c>
      <c r="X38" s="44">
        <v>122081786</v>
      </c>
    </row>
    <row r="39" spans="1:24" s="7" customFormat="1">
      <c r="A39" s="18" t="s">
        <v>97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>
        <f>SUM(N38)</f>
        <v>59979196</v>
      </c>
      <c r="O39" s="1">
        <f t="shared" ref="O39:X39" si="8">SUM(O38)</f>
        <v>0</v>
      </c>
      <c r="P39" s="1">
        <f t="shared" si="8"/>
        <v>8411650</v>
      </c>
      <c r="Q39" s="1">
        <f t="shared" si="8"/>
        <v>11444745</v>
      </c>
      <c r="R39" s="1">
        <f t="shared" si="8"/>
        <v>16749234</v>
      </c>
      <c r="S39" s="1">
        <f t="shared" si="8"/>
        <v>22828284</v>
      </c>
      <c r="T39" s="1">
        <f t="shared" si="8"/>
        <v>29644267</v>
      </c>
      <c r="U39" s="1">
        <f t="shared" si="8"/>
        <v>50234734</v>
      </c>
      <c r="V39" s="1">
        <f t="shared" si="8"/>
        <v>72706922</v>
      </c>
      <c r="W39" s="1">
        <f t="shared" si="8"/>
        <v>95844474</v>
      </c>
      <c r="X39" s="1">
        <f t="shared" si="8"/>
        <v>122081786</v>
      </c>
    </row>
    <row r="40" spans="1:24" s="7" customFormat="1">
      <c r="A40" s="1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s="7" customFormat="1">
      <c r="A41" s="18" t="s">
        <v>98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>
        <v>59979196</v>
      </c>
      <c r="O41" s="1">
        <v>59979196</v>
      </c>
      <c r="P41" s="1">
        <v>59979196</v>
      </c>
      <c r="Q41" s="1">
        <v>59979196</v>
      </c>
      <c r="R41" s="1">
        <v>59979196</v>
      </c>
      <c r="S41" s="1">
        <v>59979196</v>
      </c>
      <c r="T41" s="1">
        <v>59979196</v>
      </c>
      <c r="U41" s="1">
        <v>59979196</v>
      </c>
      <c r="V41" s="1">
        <v>59979196</v>
      </c>
      <c r="W41" s="1">
        <v>59979196</v>
      </c>
      <c r="X41" s="1">
        <v>59979196</v>
      </c>
    </row>
    <row r="42" spans="1:24" s="7" customFormat="1">
      <c r="A42" s="1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s="7" customFormat="1">
      <c r="A43" s="52" t="s">
        <v>100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>
        <v>59979196</v>
      </c>
      <c r="O43" s="55">
        <f t="shared" ref="O43:X43" si="9">SUM(O39+O41)</f>
        <v>59979196</v>
      </c>
      <c r="P43" s="55">
        <f t="shared" si="9"/>
        <v>68390846</v>
      </c>
      <c r="Q43" s="55">
        <f t="shared" si="9"/>
        <v>71423941</v>
      </c>
      <c r="R43" s="55">
        <f t="shared" si="9"/>
        <v>76728430</v>
      </c>
      <c r="S43" s="55">
        <f t="shared" si="9"/>
        <v>82807480</v>
      </c>
      <c r="T43" s="55">
        <f t="shared" si="9"/>
        <v>89623463</v>
      </c>
      <c r="U43" s="55">
        <f t="shared" si="9"/>
        <v>110213930</v>
      </c>
      <c r="V43" s="55">
        <f t="shared" si="9"/>
        <v>132686118</v>
      </c>
      <c r="W43" s="55">
        <f t="shared" si="9"/>
        <v>155823670</v>
      </c>
      <c r="X43" s="56">
        <f t="shared" si="9"/>
        <v>182060982</v>
      </c>
    </row>
    <row r="45" spans="1:24" ht="15.75" thickBot="1"/>
    <row r="46" spans="1:24" s="3" customFormat="1" ht="15.75" thickBot="1">
      <c r="A46" s="59" t="s">
        <v>101</v>
      </c>
      <c r="B46" s="60">
        <f>SUM(B43+B35+B28+B21+B13)</f>
        <v>43556959</v>
      </c>
      <c r="C46" s="60">
        <f t="shared" ref="C46:X46" si="10">SUM(C43+C35+C28+C21+C13)</f>
        <v>49352561</v>
      </c>
      <c r="D46" s="60">
        <f t="shared" si="10"/>
        <v>58952461</v>
      </c>
      <c r="E46" s="60">
        <f t="shared" si="10"/>
        <v>88171139</v>
      </c>
      <c r="F46" s="60">
        <f t="shared" si="10"/>
        <v>110496357</v>
      </c>
      <c r="G46" s="60">
        <f t="shared" si="10"/>
        <v>126182293</v>
      </c>
      <c r="H46" s="60">
        <f t="shared" si="10"/>
        <v>165529586</v>
      </c>
      <c r="I46" s="60">
        <f t="shared" si="10"/>
        <v>169440456</v>
      </c>
      <c r="J46" s="60">
        <f t="shared" si="10"/>
        <v>226126132</v>
      </c>
      <c r="K46" s="60">
        <f t="shared" si="10"/>
        <v>207776809</v>
      </c>
      <c r="L46" s="60">
        <f t="shared" si="10"/>
        <v>208771178</v>
      </c>
      <c r="M46" s="60">
        <f t="shared" si="10"/>
        <v>260182802</v>
      </c>
      <c r="N46" s="60">
        <f t="shared" si="10"/>
        <v>316358198</v>
      </c>
      <c r="O46" s="60">
        <f t="shared" si="10"/>
        <v>337998598</v>
      </c>
      <c r="P46" s="60">
        <f t="shared" si="10"/>
        <v>326728580</v>
      </c>
      <c r="Q46" s="60">
        <f t="shared" si="10"/>
        <v>351937288</v>
      </c>
      <c r="R46" s="60">
        <f t="shared" si="10"/>
        <v>362844207</v>
      </c>
      <c r="S46" s="60">
        <f t="shared" si="10"/>
        <v>382474652</v>
      </c>
      <c r="T46" s="60">
        <f t="shared" si="10"/>
        <v>405959121</v>
      </c>
      <c r="U46" s="60">
        <f t="shared" si="10"/>
        <v>463872326</v>
      </c>
      <c r="V46" s="60">
        <f t="shared" si="10"/>
        <v>528726222</v>
      </c>
      <c r="W46" s="60">
        <f t="shared" si="10"/>
        <v>602288572</v>
      </c>
      <c r="X46" s="60">
        <f t="shared" si="10"/>
        <v>677687908</v>
      </c>
    </row>
    <row r="49" spans="1:24">
      <c r="B49" s="30"/>
      <c r="C49" t="s">
        <v>102</v>
      </c>
    </row>
    <row r="51" spans="1:24">
      <c r="B51" s="34"/>
      <c r="C51" s="7" t="s">
        <v>33</v>
      </c>
    </row>
    <row r="53" spans="1:24">
      <c r="B53" s="42"/>
      <c r="C53" t="s">
        <v>103</v>
      </c>
    </row>
    <row r="55" spans="1:24">
      <c r="B55" s="46"/>
      <c r="C55" t="s">
        <v>104</v>
      </c>
    </row>
    <row r="58" spans="1:24">
      <c r="A58" s="64" t="s">
        <v>105</v>
      </c>
      <c r="O58" s="11"/>
      <c r="P58" s="11"/>
      <c r="Q58" s="11"/>
    </row>
    <row r="59" spans="1:24">
      <c r="B59" s="4" t="s">
        <v>2</v>
      </c>
      <c r="C59" s="4" t="s">
        <v>3</v>
      </c>
      <c r="D59" s="4" t="s">
        <v>4</v>
      </c>
      <c r="E59" s="4" t="s">
        <v>5</v>
      </c>
      <c r="F59" s="4" t="s">
        <v>6</v>
      </c>
      <c r="G59" s="4" t="s">
        <v>7</v>
      </c>
      <c r="H59" s="4" t="s">
        <v>8</v>
      </c>
      <c r="I59" s="4" t="s">
        <v>9</v>
      </c>
      <c r="J59" s="4" t="s">
        <v>10</v>
      </c>
      <c r="K59" s="4" t="s">
        <v>11</v>
      </c>
      <c r="L59" s="4" t="s">
        <v>12</v>
      </c>
      <c r="M59" s="4" t="s">
        <v>13</v>
      </c>
      <c r="N59" s="4" t="s">
        <v>14</v>
      </c>
      <c r="O59" s="4" t="s">
        <v>15</v>
      </c>
      <c r="P59" s="4" t="s">
        <v>16</v>
      </c>
      <c r="Q59" s="5" t="s">
        <v>17</v>
      </c>
      <c r="R59" s="6" t="s">
        <v>18</v>
      </c>
      <c r="S59" s="6" t="s">
        <v>19</v>
      </c>
      <c r="T59" s="6" t="s">
        <v>20</v>
      </c>
      <c r="U59" s="6" t="s">
        <v>21</v>
      </c>
      <c r="V59" s="6" t="s">
        <v>22</v>
      </c>
      <c r="W59" s="5" t="s">
        <v>24</v>
      </c>
      <c r="X59" s="6" t="s">
        <v>23</v>
      </c>
    </row>
    <row r="60" spans="1:24">
      <c r="B60" s="1">
        <f>SUM(B9+B17)</f>
        <v>43556959</v>
      </c>
      <c r="C60" s="1">
        <f>SUM(C24)</f>
        <v>1801302</v>
      </c>
      <c r="D60" s="1"/>
      <c r="E60" s="1">
        <f>SUM(E31)</f>
        <v>21685741</v>
      </c>
      <c r="L60" s="1"/>
      <c r="N60" s="1">
        <f>SUM(N39)</f>
        <v>59979196</v>
      </c>
    </row>
  </sheetData>
  <pageMargins left="0.25" right="0.25" top="0.75" bottom="0.7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X55"/>
  <sheetViews>
    <sheetView topLeftCell="A27" workbookViewId="0">
      <selection activeCell="A41" sqref="A41:XFD68"/>
    </sheetView>
  </sheetViews>
  <sheetFormatPr defaultRowHeight="15"/>
  <cols>
    <col min="1" max="1" width="21.7109375" customWidth="1"/>
    <col min="2" max="2" width="13.5703125" customWidth="1"/>
    <col min="3" max="3" width="12.28515625" customWidth="1"/>
    <col min="4" max="4" width="12" customWidth="1"/>
    <col min="5" max="5" width="11.7109375" customWidth="1"/>
    <col min="6" max="6" width="11.28515625" customWidth="1"/>
    <col min="7" max="7" width="10.85546875" customWidth="1"/>
    <col min="8" max="16" width="14.85546875" customWidth="1"/>
    <col min="17" max="17" width="13.5703125" customWidth="1"/>
    <col min="18" max="19" width="12.85546875" customWidth="1"/>
    <col min="20" max="20" width="13.28515625" customWidth="1"/>
    <col min="21" max="21" width="13.140625" customWidth="1"/>
    <col min="22" max="24" width="14.85546875" customWidth="1"/>
  </cols>
  <sheetData>
    <row r="3" spans="1:24"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5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5" t="s">
        <v>24</v>
      </c>
      <c r="X3" s="6" t="s">
        <v>23</v>
      </c>
    </row>
    <row r="4" spans="1:24">
      <c r="B4" s="29"/>
      <c r="C4" s="32">
        <f>SUM(182753/0.01)</f>
        <v>18275300</v>
      </c>
      <c r="D4" s="32">
        <v>46853300</v>
      </c>
      <c r="E4" s="47"/>
      <c r="F4" s="47"/>
      <c r="G4" s="47"/>
      <c r="H4" s="40"/>
      <c r="I4" s="66"/>
      <c r="J4" s="66"/>
      <c r="K4" s="66"/>
      <c r="L4" s="66"/>
      <c r="M4" s="67"/>
      <c r="N4" s="67"/>
      <c r="O4" s="67"/>
      <c r="P4" s="68"/>
      <c r="Q4" s="69"/>
      <c r="R4" s="70"/>
      <c r="S4" s="70"/>
      <c r="T4" s="70"/>
      <c r="U4" s="70"/>
      <c r="V4" s="70"/>
      <c r="W4" s="69"/>
      <c r="X4" s="70"/>
    </row>
    <row r="5" spans="1:24" s="8" customFormat="1">
      <c r="A5" s="8" t="s">
        <v>44</v>
      </c>
      <c r="B5" s="28">
        <v>6579224</v>
      </c>
      <c r="C5" s="32"/>
      <c r="D5" s="32"/>
      <c r="E5" s="47">
        <v>-40979</v>
      </c>
      <c r="F5" s="47">
        <v>526019</v>
      </c>
      <c r="G5" s="47">
        <v>795338</v>
      </c>
      <c r="H5" s="47">
        <v>1337271</v>
      </c>
      <c r="I5" s="47">
        <v>1680675</v>
      </c>
      <c r="J5" s="47">
        <v>160444</v>
      </c>
      <c r="K5" s="47">
        <v>132041</v>
      </c>
      <c r="L5" s="47">
        <v>363102</v>
      </c>
      <c r="M5" s="48">
        <v>307200</v>
      </c>
      <c r="N5" s="48">
        <v>98800</v>
      </c>
      <c r="O5" s="48">
        <v>-107200</v>
      </c>
      <c r="P5" s="49">
        <v>443496</v>
      </c>
      <c r="Q5" s="49">
        <v>616503</v>
      </c>
      <c r="R5" s="49">
        <v>39630</v>
      </c>
      <c r="S5" s="49">
        <v>176826</v>
      </c>
      <c r="T5" s="49">
        <v>292789</v>
      </c>
      <c r="U5" s="49">
        <v>401793</v>
      </c>
      <c r="V5" s="49">
        <v>1268727</v>
      </c>
      <c r="W5" s="49">
        <v>1480610</v>
      </c>
      <c r="X5" s="49">
        <v>1801562</v>
      </c>
    </row>
    <row r="6" spans="1:24" s="7" customFormat="1">
      <c r="A6" s="7" t="s">
        <v>45</v>
      </c>
      <c r="B6" s="28">
        <v>100855503</v>
      </c>
      <c r="C6" s="32"/>
      <c r="D6" s="32"/>
      <c r="E6" s="47">
        <v>40272630</v>
      </c>
      <c r="F6" s="47">
        <v>58896145</v>
      </c>
      <c r="G6" s="47">
        <v>75682844</v>
      </c>
      <c r="H6" s="47">
        <v>85214273</v>
      </c>
      <c r="I6" s="47">
        <v>86933840</v>
      </c>
      <c r="J6" s="47">
        <v>94055535</v>
      </c>
      <c r="K6" s="47">
        <v>86097516</v>
      </c>
      <c r="L6" s="47">
        <v>86563553</v>
      </c>
      <c r="M6" s="48">
        <v>88845100</v>
      </c>
      <c r="N6" s="48">
        <v>89876300</v>
      </c>
      <c r="O6" s="48">
        <v>113838400</v>
      </c>
      <c r="P6" s="49">
        <v>1227967276</v>
      </c>
      <c r="Q6" s="49">
        <v>178064996</v>
      </c>
      <c r="R6" s="49">
        <v>271328744</v>
      </c>
      <c r="S6" s="49">
        <v>393738773</v>
      </c>
      <c r="T6" s="49">
        <v>503748172</v>
      </c>
      <c r="U6" s="49">
        <v>842548884</v>
      </c>
      <c r="V6" s="49">
        <v>1428877366</v>
      </c>
      <c r="W6" s="49">
        <v>1810887839</v>
      </c>
      <c r="X6" s="49">
        <v>2112944887</v>
      </c>
    </row>
    <row r="7" spans="1:24" s="7" customFormat="1">
      <c r="A7" s="7" t="s">
        <v>46</v>
      </c>
      <c r="B7" s="28">
        <v>2319481</v>
      </c>
      <c r="C7" s="32"/>
      <c r="D7" s="32"/>
      <c r="E7" s="47">
        <v>5001877</v>
      </c>
      <c r="F7" s="47">
        <v>5267323</v>
      </c>
      <c r="G7" s="47">
        <v>6777270</v>
      </c>
      <c r="H7" s="47">
        <v>6983609</v>
      </c>
      <c r="I7" s="47">
        <v>7268291</v>
      </c>
      <c r="J7" s="47">
        <v>8063859</v>
      </c>
      <c r="K7" s="47">
        <v>7539202</v>
      </c>
      <c r="L7" s="47">
        <v>7517488</v>
      </c>
      <c r="M7" s="48">
        <v>7953600</v>
      </c>
      <c r="N7" s="48">
        <v>8101800</v>
      </c>
      <c r="O7" s="48">
        <v>10078600</v>
      </c>
      <c r="P7" s="49">
        <v>11500666</v>
      </c>
      <c r="Q7" s="49">
        <v>13604230</v>
      </c>
      <c r="R7" s="49">
        <v>14169013</v>
      </c>
      <c r="S7" s="49">
        <v>18048608</v>
      </c>
      <c r="T7" s="49">
        <v>19124427</v>
      </c>
      <c r="U7" s="49">
        <v>25826247</v>
      </c>
      <c r="V7" s="49">
        <v>26468114</v>
      </c>
      <c r="W7" s="49">
        <v>14677439</v>
      </c>
      <c r="X7" s="49">
        <v>26734575</v>
      </c>
    </row>
    <row r="8" spans="1:24" s="7" customFormat="1">
      <c r="A8" s="7" t="s">
        <v>47</v>
      </c>
      <c r="B8" s="28">
        <v>1772256</v>
      </c>
      <c r="C8" s="32"/>
      <c r="D8" s="32"/>
      <c r="E8" s="47">
        <v>121640</v>
      </c>
      <c r="F8" s="47">
        <v>-104003</v>
      </c>
      <c r="G8" s="47">
        <v>-88681</v>
      </c>
      <c r="H8" s="47">
        <v>-41821</v>
      </c>
      <c r="I8" s="47">
        <v>-16662</v>
      </c>
      <c r="J8" s="47">
        <v>-6289</v>
      </c>
      <c r="K8" s="47">
        <v>-93900</v>
      </c>
      <c r="L8" s="47">
        <v>-77868</v>
      </c>
      <c r="M8" s="48">
        <v>3100</v>
      </c>
      <c r="N8" s="48">
        <v>1500</v>
      </c>
      <c r="O8" s="48">
        <v>-2589400</v>
      </c>
      <c r="P8" s="49">
        <v>-1091950</v>
      </c>
      <c r="Q8" s="49">
        <v>-1085714</v>
      </c>
      <c r="R8" s="49">
        <v>-1094629</v>
      </c>
      <c r="S8" s="49">
        <v>-888380</v>
      </c>
      <c r="T8" s="49">
        <v>-829015</v>
      </c>
      <c r="U8" s="49">
        <v>3112264</v>
      </c>
      <c r="V8" s="49">
        <v>3239084</v>
      </c>
      <c r="W8" s="49">
        <v>3440477</v>
      </c>
      <c r="X8" s="49">
        <v>453340</v>
      </c>
    </row>
    <row r="9" spans="1:24" s="7" customFormat="1">
      <c r="A9" s="7" t="s">
        <v>48</v>
      </c>
      <c r="B9" s="28">
        <v>9491010</v>
      </c>
      <c r="C9" s="32"/>
      <c r="D9" s="32"/>
      <c r="E9" s="47">
        <v>14743562</v>
      </c>
      <c r="F9" s="47">
        <v>16037372</v>
      </c>
      <c r="G9" s="47">
        <v>20608370</v>
      </c>
      <c r="H9" s="47">
        <v>22269064</v>
      </c>
      <c r="I9" s="47">
        <v>22433464</v>
      </c>
      <c r="J9" s="47">
        <v>19902302</v>
      </c>
      <c r="K9" s="47">
        <v>44282831</v>
      </c>
      <c r="L9" s="47">
        <v>19860976</v>
      </c>
      <c r="M9" s="48">
        <v>262249500</v>
      </c>
      <c r="N9" s="48">
        <v>26637200</v>
      </c>
      <c r="O9" s="48">
        <v>37544500</v>
      </c>
      <c r="P9" s="49">
        <v>38488277</v>
      </c>
      <c r="Q9" s="49">
        <v>39341515</v>
      </c>
      <c r="R9" s="49">
        <v>42339331</v>
      </c>
      <c r="S9" s="49">
        <v>43507462</v>
      </c>
      <c r="T9" s="49">
        <v>46119050</v>
      </c>
      <c r="U9" s="49">
        <v>48025430</v>
      </c>
      <c r="V9" s="49">
        <v>53756345</v>
      </c>
      <c r="W9" s="49">
        <v>62588495</v>
      </c>
      <c r="X9" s="49">
        <v>73636134</v>
      </c>
    </row>
    <row r="10" spans="1:24" s="7" customFormat="1">
      <c r="A10" s="7" t="s">
        <v>53</v>
      </c>
      <c r="B10" s="28">
        <v>7143736</v>
      </c>
      <c r="C10" s="32"/>
      <c r="D10" s="32"/>
      <c r="E10" s="47">
        <v>4145889</v>
      </c>
      <c r="F10" s="47">
        <v>5404705</v>
      </c>
      <c r="G10" s="47">
        <v>6822906</v>
      </c>
      <c r="H10" s="47">
        <v>7042231</v>
      </c>
      <c r="I10" s="47">
        <v>6749330</v>
      </c>
      <c r="J10" s="47">
        <v>15064778</v>
      </c>
      <c r="K10" s="47">
        <v>14264238</v>
      </c>
      <c r="L10" s="47">
        <v>17371499</v>
      </c>
      <c r="M10" s="48">
        <v>20268500</v>
      </c>
      <c r="N10" s="48">
        <v>21395700</v>
      </c>
      <c r="O10" s="48">
        <v>22711700</v>
      </c>
      <c r="P10" s="49">
        <v>27390759</v>
      </c>
      <c r="Q10" s="49">
        <v>41116891</v>
      </c>
      <c r="R10" s="49">
        <v>50448981</v>
      </c>
      <c r="S10" s="49">
        <v>59007392</v>
      </c>
      <c r="T10" s="49">
        <v>62606854</v>
      </c>
      <c r="U10" s="49">
        <v>63986536</v>
      </c>
      <c r="V10" s="49">
        <v>62856737</v>
      </c>
      <c r="W10" s="49">
        <v>66459062</v>
      </c>
      <c r="X10" s="49">
        <v>73489536</v>
      </c>
    </row>
    <row r="11" spans="1:24" s="7" customFormat="1">
      <c r="A11" s="7" t="s">
        <v>49</v>
      </c>
      <c r="B11" s="31">
        <v>15777972</v>
      </c>
      <c r="C11" s="35"/>
      <c r="D11" s="35"/>
      <c r="E11" s="41">
        <v>4162421</v>
      </c>
      <c r="F11" s="41">
        <v>5444320</v>
      </c>
      <c r="G11" s="41">
        <v>7301775</v>
      </c>
      <c r="H11" s="41">
        <v>8526518</v>
      </c>
      <c r="I11" s="41">
        <v>9762141</v>
      </c>
      <c r="J11" s="41">
        <v>9798807</v>
      </c>
      <c r="K11" s="41">
        <v>11489268</v>
      </c>
      <c r="L11" s="41">
        <v>11388560</v>
      </c>
      <c r="M11" s="39">
        <v>10793100</v>
      </c>
      <c r="N11" s="39">
        <v>8604500</v>
      </c>
      <c r="O11" s="39">
        <v>10831700</v>
      </c>
      <c r="P11" s="44">
        <v>13033890</v>
      </c>
      <c r="Q11" s="44">
        <v>13168066</v>
      </c>
      <c r="R11" s="44">
        <v>14252999</v>
      </c>
      <c r="S11" s="44">
        <v>15278780</v>
      </c>
      <c r="T11" s="44">
        <v>15121268</v>
      </c>
      <c r="U11" s="44">
        <v>17068655</v>
      </c>
      <c r="V11" s="44">
        <v>22231068</v>
      </c>
      <c r="W11" s="44">
        <v>29100570</v>
      </c>
      <c r="X11" s="44">
        <v>39222109</v>
      </c>
    </row>
    <row r="12" spans="1:24" s="7" customFormat="1">
      <c r="A12" s="18" t="s">
        <v>97</v>
      </c>
      <c r="B12" s="1">
        <f>SUM(B4:B11)</f>
        <v>143939182</v>
      </c>
      <c r="C12" s="1">
        <f t="shared" ref="C12:X12" si="0">SUM(C4:C11)</f>
        <v>18275300</v>
      </c>
      <c r="D12" s="1">
        <f t="shared" si="0"/>
        <v>46853300</v>
      </c>
      <c r="E12" s="1">
        <f t="shared" si="0"/>
        <v>68407040</v>
      </c>
      <c r="F12" s="1">
        <f t="shared" si="0"/>
        <v>91471881</v>
      </c>
      <c r="G12" s="1">
        <f t="shared" si="0"/>
        <v>117899822</v>
      </c>
      <c r="H12" s="1">
        <f t="shared" si="0"/>
        <v>131331145</v>
      </c>
      <c r="I12" s="1">
        <f t="shared" si="0"/>
        <v>134811079</v>
      </c>
      <c r="J12" s="1">
        <f t="shared" si="0"/>
        <v>147039436</v>
      </c>
      <c r="K12" s="1">
        <f t="shared" si="0"/>
        <v>163711196</v>
      </c>
      <c r="L12" s="1">
        <f t="shared" si="0"/>
        <v>142987310</v>
      </c>
      <c r="M12" s="1">
        <f t="shared" si="0"/>
        <v>390420100</v>
      </c>
      <c r="N12" s="1">
        <f t="shared" si="0"/>
        <v>154715800</v>
      </c>
      <c r="O12" s="1">
        <f t="shared" si="0"/>
        <v>192308300</v>
      </c>
      <c r="P12" s="1">
        <f t="shared" si="0"/>
        <v>1317732414</v>
      </c>
      <c r="Q12" s="1">
        <f t="shared" si="0"/>
        <v>284826487</v>
      </c>
      <c r="R12" s="1">
        <f t="shared" si="0"/>
        <v>391484069</v>
      </c>
      <c r="S12" s="1">
        <f t="shared" si="0"/>
        <v>528869461</v>
      </c>
      <c r="T12" s="1">
        <f t="shared" si="0"/>
        <v>646183545</v>
      </c>
      <c r="U12" s="1">
        <f t="shared" si="0"/>
        <v>1000969809</v>
      </c>
      <c r="V12" s="1">
        <f t="shared" si="0"/>
        <v>1598697441</v>
      </c>
      <c r="W12" s="1">
        <f t="shared" si="0"/>
        <v>1988634492</v>
      </c>
      <c r="X12" s="1">
        <f t="shared" si="0"/>
        <v>2328282143</v>
      </c>
    </row>
    <row r="13" spans="1:24" s="7" customFormat="1" ht="5.25" customHeight="1">
      <c r="A13" s="1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s="7" customFormat="1">
      <c r="A14" s="18" t="s">
        <v>98</v>
      </c>
      <c r="B14" s="1">
        <v>143939182</v>
      </c>
      <c r="C14" s="1">
        <v>143939182</v>
      </c>
      <c r="D14" s="1">
        <v>143939182</v>
      </c>
      <c r="E14" s="1">
        <v>143939182</v>
      </c>
      <c r="F14" s="1">
        <v>143939182</v>
      </c>
      <c r="G14" s="1">
        <v>143939182</v>
      </c>
      <c r="H14" s="1">
        <v>143939182</v>
      </c>
      <c r="I14" s="1">
        <v>143939182</v>
      </c>
      <c r="J14" s="1">
        <v>143939182</v>
      </c>
      <c r="K14" s="1">
        <v>143939182</v>
      </c>
      <c r="L14" s="1">
        <v>143939182</v>
      </c>
      <c r="M14" s="1">
        <v>143939182</v>
      </c>
      <c r="N14" s="1">
        <v>143939182</v>
      </c>
      <c r="O14" s="1">
        <v>143939182</v>
      </c>
      <c r="P14" s="1">
        <v>143939182</v>
      </c>
      <c r="Q14" s="1">
        <v>143939182</v>
      </c>
      <c r="R14" s="1">
        <v>143939182</v>
      </c>
      <c r="S14" s="1">
        <v>143939182</v>
      </c>
      <c r="T14" s="1">
        <v>143939182</v>
      </c>
      <c r="U14" s="1">
        <v>143939182</v>
      </c>
      <c r="V14" s="1">
        <v>143939182</v>
      </c>
      <c r="W14" s="1">
        <v>143939182</v>
      </c>
      <c r="X14" s="1">
        <v>143939182</v>
      </c>
    </row>
    <row r="15" spans="1:24" s="7" customFormat="1" ht="3.75" customHeight="1">
      <c r="A15" s="18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s="7" customFormat="1">
      <c r="A16" s="52" t="s">
        <v>100</v>
      </c>
      <c r="B16" s="55">
        <v>143939182</v>
      </c>
      <c r="C16" s="55">
        <f>SUM(C12+C14)</f>
        <v>162214482</v>
      </c>
      <c r="D16" s="55">
        <f t="shared" ref="D16:X16" si="1">SUM(D12+D14)</f>
        <v>190792482</v>
      </c>
      <c r="E16" s="55">
        <f t="shared" si="1"/>
        <v>212346222</v>
      </c>
      <c r="F16" s="55">
        <f t="shared" si="1"/>
        <v>235411063</v>
      </c>
      <c r="G16" s="55">
        <f t="shared" si="1"/>
        <v>261839004</v>
      </c>
      <c r="H16" s="55">
        <f t="shared" si="1"/>
        <v>275270327</v>
      </c>
      <c r="I16" s="55">
        <f t="shared" si="1"/>
        <v>278750261</v>
      </c>
      <c r="J16" s="55">
        <f t="shared" si="1"/>
        <v>290978618</v>
      </c>
      <c r="K16" s="55">
        <f t="shared" si="1"/>
        <v>307650378</v>
      </c>
      <c r="L16" s="55">
        <f t="shared" si="1"/>
        <v>286926492</v>
      </c>
      <c r="M16" s="55">
        <f t="shared" si="1"/>
        <v>534359282</v>
      </c>
      <c r="N16" s="55">
        <f t="shared" si="1"/>
        <v>298654982</v>
      </c>
      <c r="O16" s="55">
        <f t="shared" si="1"/>
        <v>336247482</v>
      </c>
      <c r="P16" s="55">
        <f t="shared" si="1"/>
        <v>1461671596</v>
      </c>
      <c r="Q16" s="55">
        <f t="shared" si="1"/>
        <v>428765669</v>
      </c>
      <c r="R16" s="55">
        <f t="shared" si="1"/>
        <v>535423251</v>
      </c>
      <c r="S16" s="55">
        <f t="shared" si="1"/>
        <v>672808643</v>
      </c>
      <c r="T16" s="55">
        <f t="shared" si="1"/>
        <v>790122727</v>
      </c>
      <c r="U16" s="55">
        <f t="shared" si="1"/>
        <v>1144908991</v>
      </c>
      <c r="V16" s="55">
        <f t="shared" si="1"/>
        <v>1742636623</v>
      </c>
      <c r="W16" s="55">
        <f t="shared" si="1"/>
        <v>2132573674</v>
      </c>
      <c r="X16" s="55">
        <f t="shared" si="1"/>
        <v>2472221325</v>
      </c>
    </row>
    <row r="17" spans="1:24" s="7" customForma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s="7" customFormat="1">
      <c r="A18" s="7" t="s">
        <v>50</v>
      </c>
      <c r="B18" s="10"/>
      <c r="C18" s="31">
        <v>4273393</v>
      </c>
      <c r="D18" s="26"/>
      <c r="E18" s="26"/>
      <c r="F18" s="26"/>
      <c r="G18" s="39">
        <v>504600</v>
      </c>
      <c r="H18" s="39">
        <v>1086900</v>
      </c>
      <c r="I18" s="39">
        <v>1214800</v>
      </c>
      <c r="J18" s="39">
        <v>1525700</v>
      </c>
      <c r="K18" s="39">
        <v>1611753</v>
      </c>
      <c r="L18" s="39">
        <v>1774824</v>
      </c>
      <c r="M18" s="39">
        <v>1875900</v>
      </c>
      <c r="N18" s="39">
        <v>2118800</v>
      </c>
      <c r="O18" s="39">
        <v>2227900</v>
      </c>
      <c r="P18" s="44">
        <v>2647378</v>
      </c>
      <c r="Q18" s="44">
        <v>3007004</v>
      </c>
      <c r="R18" s="44">
        <v>2920897</v>
      </c>
      <c r="S18" s="44">
        <v>3312796</v>
      </c>
      <c r="T18" s="44">
        <v>3441973</v>
      </c>
      <c r="U18" s="44">
        <v>4024333</v>
      </c>
      <c r="V18" s="44">
        <v>4553450</v>
      </c>
      <c r="W18" s="44">
        <v>4986376</v>
      </c>
      <c r="X18" s="44">
        <v>5674311</v>
      </c>
    </row>
    <row r="19" spans="1:24" s="7" customFormat="1">
      <c r="A19" s="18" t="s">
        <v>97</v>
      </c>
      <c r="B19" s="1"/>
      <c r="C19" s="1">
        <f>SUM(C18)</f>
        <v>4273393</v>
      </c>
      <c r="D19" s="1">
        <f t="shared" ref="D19:X19" si="2">SUM(D18)</f>
        <v>0</v>
      </c>
      <c r="E19" s="1">
        <f t="shared" si="2"/>
        <v>0</v>
      </c>
      <c r="F19" s="1">
        <f t="shared" si="2"/>
        <v>0</v>
      </c>
      <c r="G19" s="1">
        <f t="shared" si="2"/>
        <v>504600</v>
      </c>
      <c r="H19" s="1">
        <f t="shared" si="2"/>
        <v>1086900</v>
      </c>
      <c r="I19" s="1">
        <f t="shared" si="2"/>
        <v>1214800</v>
      </c>
      <c r="J19" s="1">
        <f t="shared" si="2"/>
        <v>1525700</v>
      </c>
      <c r="K19" s="1">
        <f t="shared" si="2"/>
        <v>1611753</v>
      </c>
      <c r="L19" s="1">
        <f t="shared" si="2"/>
        <v>1774824</v>
      </c>
      <c r="M19" s="1">
        <f t="shared" si="2"/>
        <v>1875900</v>
      </c>
      <c r="N19" s="1">
        <f t="shared" si="2"/>
        <v>2118800</v>
      </c>
      <c r="O19" s="1">
        <f t="shared" si="2"/>
        <v>2227900</v>
      </c>
      <c r="P19" s="1">
        <f t="shared" si="2"/>
        <v>2647378</v>
      </c>
      <c r="Q19" s="1">
        <f t="shared" si="2"/>
        <v>3007004</v>
      </c>
      <c r="R19" s="1">
        <f t="shared" si="2"/>
        <v>2920897</v>
      </c>
      <c r="S19" s="1">
        <f t="shared" si="2"/>
        <v>3312796</v>
      </c>
      <c r="T19" s="1">
        <f t="shared" si="2"/>
        <v>3441973</v>
      </c>
      <c r="U19" s="1">
        <f t="shared" si="2"/>
        <v>4024333</v>
      </c>
      <c r="V19" s="1">
        <f t="shared" si="2"/>
        <v>4553450</v>
      </c>
      <c r="W19" s="1">
        <f t="shared" si="2"/>
        <v>4986376</v>
      </c>
      <c r="X19" s="1">
        <f t="shared" si="2"/>
        <v>5674311</v>
      </c>
    </row>
    <row r="20" spans="1:24" s="7" customFormat="1" ht="7.5" customHeight="1">
      <c r="A20" s="18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7" customFormat="1">
      <c r="A21" s="18" t="s">
        <v>98</v>
      </c>
      <c r="B21" s="1"/>
      <c r="C21" s="1">
        <v>4273393</v>
      </c>
      <c r="D21" s="1">
        <v>4273393</v>
      </c>
      <c r="E21" s="1">
        <v>4273393</v>
      </c>
      <c r="F21" s="1">
        <v>4273393</v>
      </c>
      <c r="G21" s="1">
        <v>4273393</v>
      </c>
      <c r="H21" s="1">
        <v>4273393</v>
      </c>
      <c r="I21" s="1">
        <v>4273393</v>
      </c>
      <c r="J21" s="1">
        <v>4273393</v>
      </c>
      <c r="K21" s="1">
        <v>4273393</v>
      </c>
      <c r="L21" s="1">
        <v>4273393</v>
      </c>
      <c r="M21" s="1">
        <v>4273393</v>
      </c>
      <c r="N21" s="1">
        <v>4273393</v>
      </c>
      <c r="O21" s="1">
        <v>4273393</v>
      </c>
      <c r="P21" s="1">
        <v>4273393</v>
      </c>
      <c r="Q21" s="1">
        <v>4273393</v>
      </c>
      <c r="R21" s="1">
        <v>4273393</v>
      </c>
      <c r="S21" s="1">
        <v>4273393</v>
      </c>
      <c r="T21" s="1">
        <v>4273393</v>
      </c>
      <c r="U21" s="1">
        <v>4273393</v>
      </c>
      <c r="V21" s="1">
        <v>4273393</v>
      </c>
      <c r="W21" s="1">
        <v>4273393</v>
      </c>
      <c r="X21" s="1">
        <v>4273393</v>
      </c>
    </row>
    <row r="22" spans="1:24" s="7" customFormat="1" ht="6" customHeight="1">
      <c r="A22" s="18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s="7" customFormat="1">
      <c r="A23" s="52" t="s">
        <v>100</v>
      </c>
      <c r="B23" s="55"/>
      <c r="C23" s="55">
        <v>4273393</v>
      </c>
      <c r="D23" s="55">
        <f t="shared" ref="D23:X23" si="3">SUM(D19+D21)</f>
        <v>4273393</v>
      </c>
      <c r="E23" s="55">
        <f t="shared" si="3"/>
        <v>4273393</v>
      </c>
      <c r="F23" s="55">
        <f t="shared" si="3"/>
        <v>4273393</v>
      </c>
      <c r="G23" s="55">
        <f t="shared" si="3"/>
        <v>4777993</v>
      </c>
      <c r="H23" s="55">
        <f t="shared" si="3"/>
        <v>5360293</v>
      </c>
      <c r="I23" s="55">
        <f t="shared" si="3"/>
        <v>5488193</v>
      </c>
      <c r="J23" s="55">
        <f t="shared" si="3"/>
        <v>5799093</v>
      </c>
      <c r="K23" s="55">
        <f t="shared" si="3"/>
        <v>5885146</v>
      </c>
      <c r="L23" s="55">
        <f t="shared" si="3"/>
        <v>6048217</v>
      </c>
      <c r="M23" s="55">
        <f t="shared" si="3"/>
        <v>6149293</v>
      </c>
      <c r="N23" s="55">
        <f t="shared" si="3"/>
        <v>6392193</v>
      </c>
      <c r="O23" s="55">
        <f t="shared" si="3"/>
        <v>6501293</v>
      </c>
      <c r="P23" s="55">
        <f t="shared" si="3"/>
        <v>6920771</v>
      </c>
      <c r="Q23" s="55">
        <f t="shared" si="3"/>
        <v>7280397</v>
      </c>
      <c r="R23" s="55">
        <f t="shared" si="3"/>
        <v>7194290</v>
      </c>
      <c r="S23" s="55">
        <f t="shared" si="3"/>
        <v>7586189</v>
      </c>
      <c r="T23" s="55">
        <f t="shared" si="3"/>
        <v>7715366</v>
      </c>
      <c r="U23" s="55">
        <f t="shared" si="3"/>
        <v>8297726</v>
      </c>
      <c r="V23" s="55">
        <f t="shared" si="3"/>
        <v>8826843</v>
      </c>
      <c r="W23" s="55">
        <f t="shared" si="3"/>
        <v>9259769</v>
      </c>
      <c r="X23" s="55">
        <f t="shared" si="3"/>
        <v>9947704</v>
      </c>
    </row>
    <row r="24" spans="1:24" s="7" customFormat="1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>
      <c r="A25" t="s">
        <v>52</v>
      </c>
      <c r="B25" s="2"/>
      <c r="C25" s="2"/>
      <c r="D25" s="31">
        <f>SUM(234+9454893+1216225+763002)</f>
        <v>11434354</v>
      </c>
      <c r="E25" s="26"/>
      <c r="F25" s="26"/>
      <c r="G25" s="39">
        <v>4990800</v>
      </c>
      <c r="H25" s="39">
        <f>SUM(2561700+431500+116000+2500+50600+5612300+2718200)</f>
        <v>11492800</v>
      </c>
      <c r="I25" s="39">
        <f>SUM(516100+33100+3200+7069900+3787200)</f>
        <v>11409500</v>
      </c>
      <c r="J25" s="39">
        <f>SUM(1617300+31400+3200+2823100+3756900)</f>
        <v>8231900</v>
      </c>
      <c r="K25" s="39">
        <f>SUM(579700+30300+3300+3503500+3773500)</f>
        <v>7890300</v>
      </c>
      <c r="L25" s="39">
        <f>SUM(330500+27900+2693700+3924100)</f>
        <v>6976200</v>
      </c>
      <c r="M25" s="39">
        <f>SUM(261000+30900+40500+3306000+3273000)</f>
        <v>6911400</v>
      </c>
      <c r="N25" s="39">
        <f>SUM(169900+31500+40200+4336200+9022500)</f>
        <v>13600300</v>
      </c>
      <c r="O25" s="39">
        <f>SUM(186200+28200+40900+11244700+4105600)</f>
        <v>15605600</v>
      </c>
      <c r="P25" s="44">
        <f>SUM32742+40566+4184952+5300673+249854-557342</f>
        <v>9218703</v>
      </c>
      <c r="Q25" s="44">
        <f>SUM(33373+41373+3898672+5145571+853260+1680207)</f>
        <v>11652456</v>
      </c>
      <c r="R25" s="44">
        <f>SUM(34044+42198+4470100+6145716+6425934+2522321)</f>
        <v>19640313</v>
      </c>
      <c r="S25" s="44">
        <f>SUM(154940+43041+4113429+11129119+6724609+2922269)</f>
        <v>25087407</v>
      </c>
      <c r="T25" s="44">
        <f>SUM(157834+43839+4246912+12702521+7056902+2824273)</f>
        <v>27032281</v>
      </c>
      <c r="U25" s="44">
        <f>SUM(160994+44712+4105761+15319917+7292886+3939364)</f>
        <v>30863634</v>
      </c>
      <c r="V25" s="44">
        <f>SUM(168413+45603+5006010+15796110+7364551+4280794)</f>
        <v>32661481</v>
      </c>
      <c r="W25" s="44">
        <f>SUM(171784+46512+64484183+17309002+7659663+3401905)</f>
        <v>93073049</v>
      </c>
      <c r="X25" s="44">
        <f>SUM(322156+47439+13538958+18922162+7828287+5540528)</f>
        <v>46199530</v>
      </c>
    </row>
    <row r="26" spans="1:24" s="7" customFormat="1">
      <c r="A26" s="18" t="s">
        <v>97</v>
      </c>
      <c r="B26" s="1"/>
      <c r="C26" s="1"/>
      <c r="D26" s="1">
        <f t="shared" ref="D26" si="4">SUM(D25)</f>
        <v>11434354</v>
      </c>
      <c r="E26" s="1">
        <f t="shared" ref="E26" si="5">SUM(E25)</f>
        <v>0</v>
      </c>
      <c r="F26" s="1">
        <f t="shared" ref="F26" si="6">SUM(F25)</f>
        <v>0</v>
      </c>
      <c r="G26" s="1">
        <f t="shared" ref="G26" si="7">SUM(G25)</f>
        <v>4990800</v>
      </c>
      <c r="H26" s="1">
        <f t="shared" ref="H26" si="8">SUM(H25)</f>
        <v>11492800</v>
      </c>
      <c r="I26" s="1">
        <f t="shared" ref="I26" si="9">SUM(I25)</f>
        <v>11409500</v>
      </c>
      <c r="J26" s="1">
        <f t="shared" ref="J26" si="10">SUM(J25)</f>
        <v>8231900</v>
      </c>
      <c r="K26" s="1">
        <f t="shared" ref="K26" si="11">SUM(K25)</f>
        <v>7890300</v>
      </c>
      <c r="L26" s="1">
        <f t="shared" ref="L26" si="12">SUM(L25)</f>
        <v>6976200</v>
      </c>
      <c r="M26" s="1">
        <f t="shared" ref="M26" si="13">SUM(M25)</f>
        <v>6911400</v>
      </c>
      <c r="N26" s="1">
        <f t="shared" ref="N26" si="14">SUM(N25)</f>
        <v>13600300</v>
      </c>
      <c r="O26" s="1">
        <f t="shared" ref="O26" si="15">SUM(O25)</f>
        <v>15605600</v>
      </c>
      <c r="P26" s="1">
        <f t="shared" ref="P26" si="16">SUM(P25)</f>
        <v>9218703</v>
      </c>
      <c r="Q26" s="1">
        <f t="shared" ref="Q26" si="17">SUM(Q25)</f>
        <v>11652456</v>
      </c>
      <c r="R26" s="1">
        <f t="shared" ref="R26" si="18">SUM(R25)</f>
        <v>19640313</v>
      </c>
      <c r="S26" s="1">
        <f t="shared" ref="S26" si="19">SUM(S25)</f>
        <v>25087407</v>
      </c>
      <c r="T26" s="1">
        <f t="shared" ref="T26" si="20">SUM(T25)</f>
        <v>27032281</v>
      </c>
      <c r="U26" s="1">
        <f t="shared" ref="U26" si="21">SUM(U25)</f>
        <v>30863634</v>
      </c>
      <c r="V26" s="1">
        <f t="shared" ref="V26" si="22">SUM(V25)</f>
        <v>32661481</v>
      </c>
      <c r="W26" s="1">
        <f t="shared" ref="W26" si="23">SUM(W25)</f>
        <v>93073049</v>
      </c>
      <c r="X26" s="1">
        <f t="shared" ref="X26" si="24">SUM(X25)</f>
        <v>46199530</v>
      </c>
    </row>
    <row r="27" spans="1:24" s="7" customFormat="1" ht="7.5" customHeight="1">
      <c r="A27" s="18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s="7" customFormat="1">
      <c r="A28" s="18" t="s">
        <v>98</v>
      </c>
      <c r="B28" s="1"/>
      <c r="C28" s="1"/>
      <c r="D28" s="1">
        <v>11434354</v>
      </c>
      <c r="E28" s="1">
        <v>11434354</v>
      </c>
      <c r="F28" s="1">
        <v>11434354</v>
      </c>
      <c r="G28" s="1">
        <v>11434354</v>
      </c>
      <c r="H28" s="1">
        <v>11434354</v>
      </c>
      <c r="I28" s="1">
        <v>11434354</v>
      </c>
      <c r="J28" s="1">
        <v>11434354</v>
      </c>
      <c r="K28" s="1">
        <v>11434354</v>
      </c>
      <c r="L28" s="1">
        <v>11434354</v>
      </c>
      <c r="M28" s="1">
        <v>11434354</v>
      </c>
      <c r="N28" s="1">
        <v>11434354</v>
      </c>
      <c r="O28" s="1">
        <v>11434354</v>
      </c>
      <c r="P28" s="1">
        <v>11434354</v>
      </c>
      <c r="Q28" s="1">
        <v>11434354</v>
      </c>
      <c r="R28" s="1">
        <v>11434354</v>
      </c>
      <c r="S28" s="1">
        <v>11434354</v>
      </c>
      <c r="T28" s="1">
        <v>11434354</v>
      </c>
      <c r="U28" s="1">
        <v>11434354</v>
      </c>
      <c r="V28" s="1">
        <v>11434354</v>
      </c>
      <c r="W28" s="1">
        <v>11434354</v>
      </c>
      <c r="X28" s="1">
        <v>11434354</v>
      </c>
    </row>
    <row r="29" spans="1:24" s="7" customFormat="1" ht="5.25" customHeight="1">
      <c r="A29" s="18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s="7" customFormat="1">
      <c r="A30" s="52" t="s">
        <v>100</v>
      </c>
      <c r="B30" s="55"/>
      <c r="C30" s="55"/>
      <c r="D30" s="55">
        <v>11434354</v>
      </c>
      <c r="E30" s="55">
        <f t="shared" ref="E30:X30" si="25">SUM(E26+E28)</f>
        <v>11434354</v>
      </c>
      <c r="F30" s="55">
        <f t="shared" si="25"/>
        <v>11434354</v>
      </c>
      <c r="G30" s="55">
        <f t="shared" si="25"/>
        <v>16425154</v>
      </c>
      <c r="H30" s="55">
        <f t="shared" si="25"/>
        <v>22927154</v>
      </c>
      <c r="I30" s="55">
        <f t="shared" si="25"/>
        <v>22843854</v>
      </c>
      <c r="J30" s="55">
        <f t="shared" si="25"/>
        <v>19666254</v>
      </c>
      <c r="K30" s="55">
        <f t="shared" si="25"/>
        <v>19324654</v>
      </c>
      <c r="L30" s="55">
        <f t="shared" si="25"/>
        <v>18410554</v>
      </c>
      <c r="M30" s="55">
        <f t="shared" si="25"/>
        <v>18345754</v>
      </c>
      <c r="N30" s="55">
        <f t="shared" si="25"/>
        <v>25034654</v>
      </c>
      <c r="O30" s="55">
        <f t="shared" si="25"/>
        <v>27039954</v>
      </c>
      <c r="P30" s="55">
        <f t="shared" si="25"/>
        <v>20653057</v>
      </c>
      <c r="Q30" s="55">
        <f t="shared" si="25"/>
        <v>23086810</v>
      </c>
      <c r="R30" s="55">
        <f t="shared" si="25"/>
        <v>31074667</v>
      </c>
      <c r="S30" s="55">
        <f t="shared" si="25"/>
        <v>36521761</v>
      </c>
      <c r="T30" s="55">
        <f t="shared" si="25"/>
        <v>38466635</v>
      </c>
      <c r="U30" s="55">
        <f t="shared" si="25"/>
        <v>42297988</v>
      </c>
      <c r="V30" s="55">
        <f t="shared" si="25"/>
        <v>44095835</v>
      </c>
      <c r="W30" s="55">
        <f t="shared" si="25"/>
        <v>104507403</v>
      </c>
      <c r="X30" s="55">
        <f t="shared" si="25"/>
        <v>57633884</v>
      </c>
    </row>
    <row r="31" spans="1:24" s="7" customForma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ht="30">
      <c r="A32" s="25" t="s">
        <v>51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1">
        <v>60770636</v>
      </c>
      <c r="O32" s="26"/>
      <c r="P32" s="44">
        <v>9541675</v>
      </c>
      <c r="Q32" s="44">
        <v>23329920</v>
      </c>
      <c r="R32" s="44">
        <v>43698759</v>
      </c>
      <c r="S32" s="44">
        <v>58321321</v>
      </c>
      <c r="T32" s="44">
        <v>73291642</v>
      </c>
      <c r="U32" s="44">
        <v>100965153</v>
      </c>
      <c r="V32" s="44">
        <v>130215606</v>
      </c>
      <c r="W32" s="44">
        <v>163459193</v>
      </c>
      <c r="X32" s="44">
        <v>163462341</v>
      </c>
    </row>
    <row r="33" spans="1:24" s="7" customFormat="1">
      <c r="A33" s="18" t="s">
        <v>97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>
        <f t="shared" ref="N33" si="26">SUM(N32)</f>
        <v>60770636</v>
      </c>
      <c r="O33" s="1">
        <f t="shared" ref="O33" si="27">SUM(O32)</f>
        <v>0</v>
      </c>
      <c r="P33" s="1">
        <f t="shared" ref="P33" si="28">SUM(P32)</f>
        <v>9541675</v>
      </c>
      <c r="Q33" s="1">
        <f t="shared" ref="Q33" si="29">SUM(Q32)</f>
        <v>23329920</v>
      </c>
      <c r="R33" s="1">
        <f t="shared" ref="R33" si="30">SUM(R32)</f>
        <v>43698759</v>
      </c>
      <c r="S33" s="1">
        <f t="shared" ref="S33" si="31">SUM(S32)</f>
        <v>58321321</v>
      </c>
      <c r="T33" s="1">
        <f t="shared" ref="T33" si="32">SUM(T32)</f>
        <v>73291642</v>
      </c>
      <c r="U33" s="1">
        <f t="shared" ref="U33" si="33">SUM(U32)</f>
        <v>100965153</v>
      </c>
      <c r="V33" s="1">
        <f t="shared" ref="V33" si="34">SUM(V32)</f>
        <v>130215606</v>
      </c>
      <c r="W33" s="1">
        <f t="shared" ref="W33" si="35">SUM(W32)</f>
        <v>163459193</v>
      </c>
      <c r="X33" s="1">
        <f t="shared" ref="X33" si="36">SUM(X32)</f>
        <v>163462341</v>
      </c>
    </row>
    <row r="34" spans="1:24" s="7" customFormat="1" ht="6.75" customHeight="1">
      <c r="A34" s="1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s="7" customFormat="1">
      <c r="A35" s="18" t="s">
        <v>98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>
        <v>60770636</v>
      </c>
      <c r="O35" s="1">
        <v>60770636</v>
      </c>
      <c r="P35" s="1">
        <v>60770636</v>
      </c>
      <c r="Q35" s="1">
        <v>60770636</v>
      </c>
      <c r="R35" s="1">
        <v>60770636</v>
      </c>
      <c r="S35" s="1">
        <v>60770636</v>
      </c>
      <c r="T35" s="1">
        <v>60770636</v>
      </c>
      <c r="U35" s="1">
        <v>60770636</v>
      </c>
      <c r="V35" s="1">
        <v>60770636</v>
      </c>
      <c r="W35" s="1">
        <v>60770636</v>
      </c>
      <c r="X35" s="1">
        <v>60770636</v>
      </c>
    </row>
    <row r="36" spans="1:24" s="7" customFormat="1" ht="6" customHeight="1">
      <c r="A36" s="1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s="7" customFormat="1">
      <c r="A37" s="52" t="s">
        <v>100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>
        <v>60776636</v>
      </c>
      <c r="O37" s="55">
        <f t="shared" ref="O37:X37" si="37">SUM(O33+O35)</f>
        <v>60770636</v>
      </c>
      <c r="P37" s="55">
        <f t="shared" si="37"/>
        <v>70312311</v>
      </c>
      <c r="Q37" s="55">
        <f t="shared" si="37"/>
        <v>84100556</v>
      </c>
      <c r="R37" s="55">
        <f t="shared" si="37"/>
        <v>104469395</v>
      </c>
      <c r="S37" s="55">
        <f t="shared" si="37"/>
        <v>119091957</v>
      </c>
      <c r="T37" s="55">
        <f t="shared" si="37"/>
        <v>134062278</v>
      </c>
      <c r="U37" s="55">
        <f t="shared" si="37"/>
        <v>161735789</v>
      </c>
      <c r="V37" s="55">
        <f t="shared" si="37"/>
        <v>190986242</v>
      </c>
      <c r="W37" s="55">
        <f t="shared" si="37"/>
        <v>224229829</v>
      </c>
      <c r="X37" s="55">
        <f t="shared" si="37"/>
        <v>224232977</v>
      </c>
    </row>
    <row r="38" spans="1:24" s="7" customFormat="1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s="7" customFormat="1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ht="15.75" thickBot="1"/>
    <row r="41" spans="1:24" s="3" customFormat="1" ht="15.75" thickBot="1">
      <c r="A41" s="59" t="s">
        <v>101</v>
      </c>
      <c r="B41" s="60">
        <f>SUM(B16+B23+B30+B37)</f>
        <v>143939182</v>
      </c>
      <c r="C41" s="60">
        <f t="shared" ref="C41:X41" si="38">SUM(C16+C23+C30+C37)</f>
        <v>166487875</v>
      </c>
      <c r="D41" s="60">
        <f t="shared" si="38"/>
        <v>206500229</v>
      </c>
      <c r="E41" s="60">
        <f t="shared" si="38"/>
        <v>228053969</v>
      </c>
      <c r="F41" s="60">
        <f t="shared" si="38"/>
        <v>251118810</v>
      </c>
      <c r="G41" s="60">
        <f t="shared" si="38"/>
        <v>283042151</v>
      </c>
      <c r="H41" s="60">
        <f t="shared" si="38"/>
        <v>303557774</v>
      </c>
      <c r="I41" s="60">
        <f t="shared" si="38"/>
        <v>307082308</v>
      </c>
      <c r="J41" s="60">
        <f t="shared" si="38"/>
        <v>316443965</v>
      </c>
      <c r="K41" s="60">
        <f t="shared" si="38"/>
        <v>332860178</v>
      </c>
      <c r="L41" s="60">
        <f t="shared" si="38"/>
        <v>311385263</v>
      </c>
      <c r="M41" s="60">
        <f t="shared" si="38"/>
        <v>558854329</v>
      </c>
      <c r="N41" s="60">
        <f t="shared" si="38"/>
        <v>390858465</v>
      </c>
      <c r="O41" s="60">
        <f t="shared" si="38"/>
        <v>430559365</v>
      </c>
      <c r="P41" s="60">
        <f t="shared" si="38"/>
        <v>1559557735</v>
      </c>
      <c r="Q41" s="60">
        <f t="shared" si="38"/>
        <v>543233432</v>
      </c>
      <c r="R41" s="60">
        <f t="shared" si="38"/>
        <v>678161603</v>
      </c>
      <c r="S41" s="60">
        <f t="shared" si="38"/>
        <v>836008550</v>
      </c>
      <c r="T41" s="60">
        <f t="shared" si="38"/>
        <v>970367006</v>
      </c>
      <c r="U41" s="60">
        <f t="shared" si="38"/>
        <v>1357240494</v>
      </c>
      <c r="V41" s="60">
        <f t="shared" si="38"/>
        <v>1986545543</v>
      </c>
      <c r="W41" s="60">
        <f t="shared" si="38"/>
        <v>2470570675</v>
      </c>
      <c r="X41" s="60">
        <f t="shared" si="38"/>
        <v>2764035890</v>
      </c>
    </row>
    <row r="44" spans="1:24">
      <c r="B44" s="30"/>
      <c r="C44" t="s">
        <v>102</v>
      </c>
    </row>
    <row r="46" spans="1:24">
      <c r="B46" s="34"/>
      <c r="C46" s="7" t="s">
        <v>33</v>
      </c>
    </row>
    <row r="48" spans="1:24">
      <c r="B48" s="42"/>
      <c r="C48" t="s">
        <v>103</v>
      </c>
    </row>
    <row r="50" spans="1:24">
      <c r="B50" s="46"/>
      <c r="C50" t="s">
        <v>104</v>
      </c>
    </row>
    <row r="53" spans="1:24">
      <c r="A53" s="64" t="s">
        <v>105</v>
      </c>
      <c r="O53" s="11"/>
      <c r="P53" s="11"/>
      <c r="Q53" s="11"/>
    </row>
    <row r="54" spans="1:24">
      <c r="B54" s="4" t="s">
        <v>2</v>
      </c>
      <c r="C54" s="4" t="s">
        <v>3</v>
      </c>
      <c r="D54" s="4" t="s">
        <v>4</v>
      </c>
      <c r="E54" s="4" t="s">
        <v>5</v>
      </c>
      <c r="F54" s="4" t="s">
        <v>6</v>
      </c>
      <c r="G54" s="4" t="s">
        <v>7</v>
      </c>
      <c r="H54" s="4" t="s">
        <v>8</v>
      </c>
      <c r="I54" s="4" t="s">
        <v>9</v>
      </c>
      <c r="J54" s="4" t="s">
        <v>10</v>
      </c>
      <c r="K54" s="4" t="s">
        <v>11</v>
      </c>
      <c r="L54" s="4" t="s">
        <v>12</v>
      </c>
      <c r="M54" s="4" t="s">
        <v>13</v>
      </c>
      <c r="N54" s="4" t="s">
        <v>14</v>
      </c>
      <c r="O54" s="4" t="s">
        <v>15</v>
      </c>
      <c r="P54" s="4" t="s">
        <v>16</v>
      </c>
      <c r="Q54" s="5" t="s">
        <v>17</v>
      </c>
      <c r="R54" s="6" t="s">
        <v>18</v>
      </c>
      <c r="S54" s="6" t="s">
        <v>19</v>
      </c>
      <c r="T54" s="6" t="s">
        <v>20</v>
      </c>
      <c r="U54" s="6" t="s">
        <v>21</v>
      </c>
      <c r="V54" s="6" t="s">
        <v>22</v>
      </c>
      <c r="W54" s="5" t="s">
        <v>24</v>
      </c>
      <c r="X54" s="6" t="s">
        <v>23</v>
      </c>
    </row>
    <row r="55" spans="1:24">
      <c r="B55" s="1">
        <f>SUM(B12)</f>
        <v>143939182</v>
      </c>
      <c r="C55" s="1">
        <f>SUM(C19)</f>
        <v>4273393</v>
      </c>
      <c r="D55" s="1">
        <f>SUM(D26)</f>
        <v>11434354</v>
      </c>
      <c r="E55" s="1"/>
      <c r="L55" s="1"/>
      <c r="N55" s="1">
        <f>SUM(N33)</f>
        <v>60770636</v>
      </c>
    </row>
  </sheetData>
  <pageMargins left="0.25" right="0.25" top="0.75" bottom="0.75" header="0.3" footer="0.3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X188"/>
  <sheetViews>
    <sheetView topLeftCell="A46" workbookViewId="0">
      <selection activeCell="M48" sqref="M48:O48"/>
    </sheetView>
  </sheetViews>
  <sheetFormatPr defaultRowHeight="15"/>
  <cols>
    <col min="1" max="1" width="25.85546875" customWidth="1"/>
    <col min="2" max="2" width="11.85546875" customWidth="1"/>
    <col min="3" max="3" width="12.28515625" customWidth="1"/>
    <col min="4" max="4" width="12.5703125" customWidth="1"/>
    <col min="5" max="5" width="12.28515625" customWidth="1"/>
    <col min="6" max="6" width="12.140625" customWidth="1"/>
    <col min="7" max="7" width="11.140625" customWidth="1"/>
    <col min="8" max="8" width="11.7109375" customWidth="1"/>
    <col min="9" max="9" width="12.85546875" customWidth="1"/>
    <col min="10" max="11" width="11.7109375" customWidth="1"/>
    <col min="12" max="12" width="12.5703125" customWidth="1"/>
    <col min="13" max="13" width="12" customWidth="1"/>
    <col min="14" max="24" width="14.28515625" customWidth="1"/>
  </cols>
  <sheetData>
    <row r="3" spans="1:24"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5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5" t="s">
        <v>24</v>
      </c>
      <c r="X3" s="6" t="s">
        <v>23</v>
      </c>
    </row>
    <row r="4" spans="1:24">
      <c r="C4" s="48">
        <v>29977400</v>
      </c>
      <c r="D4" s="48">
        <v>35291100</v>
      </c>
      <c r="E4" s="47"/>
      <c r="F4" s="47"/>
      <c r="G4" s="42"/>
      <c r="H4" s="40"/>
      <c r="I4" s="66"/>
      <c r="J4" s="66"/>
      <c r="K4" s="66"/>
      <c r="L4" s="66"/>
      <c r="M4" s="67"/>
      <c r="N4" s="67"/>
      <c r="O4" s="67"/>
      <c r="P4" s="68"/>
      <c r="Q4" s="69"/>
      <c r="R4" s="70"/>
      <c r="S4" s="70"/>
      <c r="T4" s="70"/>
      <c r="U4" s="70"/>
      <c r="V4" s="70"/>
      <c r="W4" s="69"/>
      <c r="X4" s="70"/>
    </row>
    <row r="5" spans="1:24" s="8" customFormat="1">
      <c r="A5" s="8" t="s">
        <v>54</v>
      </c>
      <c r="B5" s="28">
        <v>5162648</v>
      </c>
      <c r="C5" s="48"/>
      <c r="D5" s="48"/>
      <c r="E5" s="47">
        <v>1783596</v>
      </c>
      <c r="F5" s="47">
        <v>2120905</v>
      </c>
      <c r="G5" s="47">
        <v>1440233</v>
      </c>
      <c r="H5" s="47">
        <v>3323887</v>
      </c>
      <c r="I5" s="47">
        <v>4037801</v>
      </c>
      <c r="J5" s="47">
        <v>4276217</v>
      </c>
      <c r="K5" s="47">
        <v>4400080</v>
      </c>
      <c r="L5" s="47">
        <v>4357561</v>
      </c>
      <c r="M5" s="48">
        <v>4031500</v>
      </c>
      <c r="N5" s="48">
        <v>3892000</v>
      </c>
      <c r="O5" s="48">
        <v>3550600</v>
      </c>
      <c r="P5" s="49">
        <v>4721763</v>
      </c>
      <c r="Q5" s="49">
        <v>5135933</v>
      </c>
      <c r="R5" s="49">
        <v>5468672</v>
      </c>
      <c r="S5" s="49">
        <v>7465567</v>
      </c>
      <c r="T5" s="49">
        <v>7407494</v>
      </c>
      <c r="U5" s="49">
        <v>10208254</v>
      </c>
      <c r="V5" s="49">
        <v>15397441</v>
      </c>
      <c r="W5" s="49">
        <v>17395078</v>
      </c>
      <c r="X5" s="49">
        <v>16788814</v>
      </c>
    </row>
    <row r="6" spans="1:24" s="7" customFormat="1">
      <c r="A6" s="7" t="s">
        <v>55</v>
      </c>
      <c r="B6" s="28">
        <v>60069933</v>
      </c>
      <c r="C6" s="48"/>
      <c r="D6" s="48"/>
      <c r="E6" s="47">
        <v>25553224</v>
      </c>
      <c r="F6" s="47">
        <v>37901069</v>
      </c>
      <c r="G6" s="47">
        <v>56220698</v>
      </c>
      <c r="H6" s="47">
        <v>71860978</v>
      </c>
      <c r="I6" s="47">
        <v>80894534</v>
      </c>
      <c r="J6" s="47">
        <v>76978374</v>
      </c>
      <c r="K6" s="47">
        <v>79919910</v>
      </c>
      <c r="L6" s="47">
        <v>70300942</v>
      </c>
      <c r="M6" s="48">
        <v>81102600</v>
      </c>
      <c r="N6" s="48">
        <v>70726600</v>
      </c>
      <c r="O6" s="48">
        <v>75386500</v>
      </c>
      <c r="P6" s="49">
        <v>77538329</v>
      </c>
      <c r="Q6" s="49">
        <v>73088004</v>
      </c>
      <c r="R6" s="49">
        <v>78508388</v>
      </c>
      <c r="S6" s="49">
        <v>93750104</v>
      </c>
      <c r="T6" s="49">
        <v>104784847</v>
      </c>
      <c r="U6" s="49">
        <v>130117464</v>
      </c>
      <c r="V6" s="49">
        <v>164212592</v>
      </c>
      <c r="W6" s="49">
        <v>230499667</v>
      </c>
      <c r="X6" s="49">
        <v>271317446</v>
      </c>
    </row>
    <row r="7" spans="1:24" s="7" customFormat="1">
      <c r="A7" s="7" t="s">
        <v>56</v>
      </c>
      <c r="B7" s="28">
        <v>5724405</v>
      </c>
      <c r="C7" s="48"/>
      <c r="D7" s="48"/>
      <c r="E7" s="47">
        <v>5271551</v>
      </c>
      <c r="F7" s="47">
        <v>5871570</v>
      </c>
      <c r="G7" s="47">
        <v>6689615</v>
      </c>
      <c r="H7" s="47">
        <v>14541750</v>
      </c>
      <c r="I7" s="47">
        <v>16634002</v>
      </c>
      <c r="J7" s="47">
        <v>16246778</v>
      </c>
      <c r="K7" s="47">
        <v>15810730</v>
      </c>
      <c r="L7" s="47">
        <v>15508030</v>
      </c>
      <c r="M7" s="48"/>
      <c r="N7" s="48"/>
      <c r="O7" s="48"/>
      <c r="P7" s="49">
        <v>16020004</v>
      </c>
      <c r="Q7" s="49">
        <v>17682900</v>
      </c>
      <c r="R7" s="49">
        <v>22727312</v>
      </c>
      <c r="S7" s="49">
        <v>23835349</v>
      </c>
      <c r="T7" s="49">
        <v>23653932</v>
      </c>
      <c r="U7" s="49">
        <v>33898052</v>
      </c>
      <c r="V7" s="49">
        <v>41785521</v>
      </c>
      <c r="W7" s="49">
        <v>51564935</v>
      </c>
      <c r="X7" s="49">
        <v>50911583</v>
      </c>
    </row>
    <row r="8" spans="1:24" s="7" customFormat="1">
      <c r="A8" s="7" t="s">
        <v>57</v>
      </c>
      <c r="B8" s="31">
        <v>7171131</v>
      </c>
      <c r="C8" s="39"/>
      <c r="D8" s="39"/>
      <c r="E8" s="41">
        <v>1764202</v>
      </c>
      <c r="F8" s="41">
        <v>4502873</v>
      </c>
      <c r="G8" s="41">
        <v>4978386</v>
      </c>
      <c r="H8" s="41">
        <v>4756992</v>
      </c>
      <c r="I8" s="41">
        <v>6321086</v>
      </c>
      <c r="J8" s="41">
        <v>5650377</v>
      </c>
      <c r="K8" s="41">
        <v>5972403</v>
      </c>
      <c r="L8" s="41">
        <v>5530092</v>
      </c>
      <c r="M8" s="39">
        <v>50374500</v>
      </c>
      <c r="N8" s="39">
        <v>50162700</v>
      </c>
      <c r="O8" s="39">
        <v>48428800</v>
      </c>
      <c r="P8" s="44">
        <v>5928960</v>
      </c>
      <c r="Q8" s="44">
        <v>16456010</v>
      </c>
      <c r="R8" s="44">
        <v>7103085</v>
      </c>
      <c r="S8" s="44">
        <v>10047165</v>
      </c>
      <c r="T8" s="44">
        <v>23223939</v>
      </c>
      <c r="U8" s="44">
        <v>20088313</v>
      </c>
      <c r="V8" s="44">
        <v>21106878</v>
      </c>
      <c r="W8" s="44">
        <v>25324749</v>
      </c>
      <c r="X8" s="44">
        <v>22037193</v>
      </c>
    </row>
    <row r="9" spans="1:24" s="7" customFormat="1">
      <c r="A9" s="18" t="s">
        <v>97</v>
      </c>
      <c r="B9" s="1">
        <f>SUM(B4:B8)</f>
        <v>78128117</v>
      </c>
      <c r="C9" s="1">
        <f t="shared" ref="C9:X9" si="0">SUM(C4:C8)</f>
        <v>29977400</v>
      </c>
      <c r="D9" s="1">
        <f t="shared" si="0"/>
        <v>35291100</v>
      </c>
      <c r="E9" s="1">
        <f t="shared" si="0"/>
        <v>34372573</v>
      </c>
      <c r="F9" s="1">
        <f t="shared" si="0"/>
        <v>50396417</v>
      </c>
      <c r="G9" s="1">
        <f t="shared" si="0"/>
        <v>69328932</v>
      </c>
      <c r="H9" s="1">
        <f t="shared" si="0"/>
        <v>94483607</v>
      </c>
      <c r="I9" s="1">
        <f t="shared" si="0"/>
        <v>107887423</v>
      </c>
      <c r="J9" s="1">
        <f t="shared" si="0"/>
        <v>103151746</v>
      </c>
      <c r="K9" s="1">
        <f t="shared" si="0"/>
        <v>106103123</v>
      </c>
      <c r="L9" s="1">
        <f t="shared" si="0"/>
        <v>95696625</v>
      </c>
      <c r="M9" s="1">
        <f t="shared" si="0"/>
        <v>135508600</v>
      </c>
      <c r="N9" s="1">
        <f t="shared" si="0"/>
        <v>124781300</v>
      </c>
      <c r="O9" s="1">
        <f t="shared" si="0"/>
        <v>127365900</v>
      </c>
      <c r="P9" s="1">
        <f t="shared" si="0"/>
        <v>104209056</v>
      </c>
      <c r="Q9" s="1">
        <f t="shared" si="0"/>
        <v>112362847</v>
      </c>
      <c r="R9" s="1">
        <f t="shared" si="0"/>
        <v>113807457</v>
      </c>
      <c r="S9" s="1">
        <f t="shared" si="0"/>
        <v>135098185</v>
      </c>
      <c r="T9" s="1">
        <f t="shared" si="0"/>
        <v>159070212</v>
      </c>
      <c r="U9" s="1">
        <f t="shared" si="0"/>
        <v>194312083</v>
      </c>
      <c r="V9" s="1">
        <f t="shared" si="0"/>
        <v>242502432</v>
      </c>
      <c r="W9" s="1">
        <f t="shared" si="0"/>
        <v>324784429</v>
      </c>
      <c r="X9" s="1">
        <f t="shared" si="0"/>
        <v>361055036</v>
      </c>
    </row>
    <row r="10" spans="1:24" s="7" customFormat="1" ht="5.25" customHeight="1">
      <c r="A10" s="18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7" customFormat="1">
      <c r="A11" s="18" t="s">
        <v>98</v>
      </c>
      <c r="B11" s="1">
        <v>78128117</v>
      </c>
      <c r="C11" s="1">
        <v>78128117</v>
      </c>
      <c r="D11" s="1">
        <v>78128117</v>
      </c>
      <c r="E11" s="1">
        <v>78128117</v>
      </c>
      <c r="F11" s="1">
        <v>78128117</v>
      </c>
      <c r="G11" s="1">
        <v>78128117</v>
      </c>
      <c r="H11" s="1">
        <v>78128117</v>
      </c>
      <c r="I11" s="1">
        <v>78128117</v>
      </c>
      <c r="J11" s="1">
        <v>78128117</v>
      </c>
      <c r="K11" s="1">
        <v>78128117</v>
      </c>
      <c r="L11" s="1">
        <v>78128117</v>
      </c>
      <c r="M11" s="1">
        <v>78128117</v>
      </c>
      <c r="N11" s="1">
        <v>78128117</v>
      </c>
      <c r="O11" s="1">
        <v>78128117</v>
      </c>
      <c r="P11" s="1">
        <v>78128117</v>
      </c>
      <c r="Q11" s="1">
        <v>78128117</v>
      </c>
      <c r="R11" s="1">
        <v>78128117</v>
      </c>
      <c r="S11" s="1">
        <v>78128117</v>
      </c>
      <c r="T11" s="1">
        <v>78128117</v>
      </c>
      <c r="U11" s="1">
        <v>78128117</v>
      </c>
      <c r="V11" s="1">
        <v>78128117</v>
      </c>
      <c r="W11" s="1">
        <v>78128117</v>
      </c>
      <c r="X11" s="1">
        <v>78128117</v>
      </c>
    </row>
    <row r="12" spans="1:24" s="7" customFormat="1" ht="3.75" customHeight="1">
      <c r="A12" s="18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7" customFormat="1">
      <c r="A13" s="52" t="s">
        <v>100</v>
      </c>
      <c r="B13" s="55">
        <f>SUM(B11)</f>
        <v>78128117</v>
      </c>
      <c r="C13" s="55">
        <f>SUM(C9+C11)</f>
        <v>108105517</v>
      </c>
      <c r="D13" s="55">
        <f t="shared" ref="D13:X13" si="1">SUM(D9+D11)</f>
        <v>113419217</v>
      </c>
      <c r="E13" s="55">
        <f t="shared" si="1"/>
        <v>112500690</v>
      </c>
      <c r="F13" s="55">
        <f t="shared" si="1"/>
        <v>128524534</v>
      </c>
      <c r="G13" s="55">
        <f t="shared" si="1"/>
        <v>147457049</v>
      </c>
      <c r="H13" s="55">
        <f t="shared" si="1"/>
        <v>172611724</v>
      </c>
      <c r="I13" s="55">
        <f t="shared" si="1"/>
        <v>186015540</v>
      </c>
      <c r="J13" s="55">
        <f t="shared" si="1"/>
        <v>181279863</v>
      </c>
      <c r="K13" s="55">
        <f t="shared" si="1"/>
        <v>184231240</v>
      </c>
      <c r="L13" s="55">
        <f t="shared" si="1"/>
        <v>173824742</v>
      </c>
      <c r="M13" s="55">
        <f t="shared" si="1"/>
        <v>213636717</v>
      </c>
      <c r="N13" s="55">
        <f t="shared" si="1"/>
        <v>202909417</v>
      </c>
      <c r="O13" s="55">
        <f t="shared" si="1"/>
        <v>205494017</v>
      </c>
      <c r="P13" s="55">
        <f t="shared" si="1"/>
        <v>182337173</v>
      </c>
      <c r="Q13" s="55">
        <f t="shared" si="1"/>
        <v>190490964</v>
      </c>
      <c r="R13" s="55">
        <f t="shared" si="1"/>
        <v>191935574</v>
      </c>
      <c r="S13" s="55">
        <f t="shared" si="1"/>
        <v>213226302</v>
      </c>
      <c r="T13" s="55">
        <f t="shared" si="1"/>
        <v>237198329</v>
      </c>
      <c r="U13" s="55">
        <f t="shared" si="1"/>
        <v>272440200</v>
      </c>
      <c r="V13" s="55">
        <f t="shared" si="1"/>
        <v>320630549</v>
      </c>
      <c r="W13" s="55">
        <f t="shared" si="1"/>
        <v>402912546</v>
      </c>
      <c r="X13" s="55">
        <f t="shared" si="1"/>
        <v>439183153</v>
      </c>
    </row>
    <row r="14" spans="1:24" s="7" customForma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s="7" customFormat="1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s="7" customForma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s="7" customFormat="1">
      <c r="A17" s="7" t="s">
        <v>58</v>
      </c>
      <c r="B17" s="31">
        <v>26762711</v>
      </c>
      <c r="C17" s="26"/>
      <c r="D17" s="26"/>
      <c r="E17" s="41">
        <v>5566179</v>
      </c>
      <c r="F17" s="41">
        <v>10033926</v>
      </c>
      <c r="G17" s="41">
        <v>12561493</v>
      </c>
      <c r="H17" s="41">
        <v>14973781</v>
      </c>
      <c r="I17" s="41">
        <v>17248216</v>
      </c>
      <c r="J17" s="41">
        <v>17589400</v>
      </c>
      <c r="K17" s="41">
        <v>17136140</v>
      </c>
      <c r="L17" s="41">
        <v>14724522</v>
      </c>
      <c r="M17" s="39">
        <v>17612500</v>
      </c>
      <c r="N17" s="39">
        <v>17285600</v>
      </c>
      <c r="O17" s="39">
        <v>27871700</v>
      </c>
      <c r="P17" s="44">
        <v>19269245</v>
      </c>
      <c r="Q17" s="44">
        <v>20725656</v>
      </c>
      <c r="R17" s="44">
        <v>24231246</v>
      </c>
      <c r="S17" s="44">
        <v>25339094</v>
      </c>
      <c r="T17" s="44">
        <v>31207818</v>
      </c>
      <c r="U17" s="44">
        <v>37060103</v>
      </c>
      <c r="V17" s="44">
        <v>49899203</v>
      </c>
      <c r="W17" s="44">
        <v>59905188</v>
      </c>
      <c r="X17" s="44">
        <v>428026478</v>
      </c>
    </row>
    <row r="18" spans="1:24" s="7" customFormat="1">
      <c r="A18" s="18" t="s">
        <v>97</v>
      </c>
      <c r="B18" s="1">
        <f>SUM(B17)</f>
        <v>26762711</v>
      </c>
      <c r="C18" s="1">
        <f t="shared" ref="C18:X18" si="2">SUM(C17)</f>
        <v>0</v>
      </c>
      <c r="D18" s="1">
        <f t="shared" si="2"/>
        <v>0</v>
      </c>
      <c r="E18" s="1">
        <f t="shared" si="2"/>
        <v>5566179</v>
      </c>
      <c r="F18" s="1">
        <f t="shared" si="2"/>
        <v>10033926</v>
      </c>
      <c r="G18" s="1">
        <f t="shared" si="2"/>
        <v>12561493</v>
      </c>
      <c r="H18" s="1">
        <f t="shared" si="2"/>
        <v>14973781</v>
      </c>
      <c r="I18" s="1">
        <f t="shared" si="2"/>
        <v>17248216</v>
      </c>
      <c r="J18" s="1">
        <f t="shared" si="2"/>
        <v>17589400</v>
      </c>
      <c r="K18" s="1">
        <f t="shared" si="2"/>
        <v>17136140</v>
      </c>
      <c r="L18" s="1">
        <f t="shared" si="2"/>
        <v>14724522</v>
      </c>
      <c r="M18" s="1">
        <f t="shared" si="2"/>
        <v>17612500</v>
      </c>
      <c r="N18" s="1">
        <f t="shared" si="2"/>
        <v>17285600</v>
      </c>
      <c r="O18" s="1">
        <f t="shared" si="2"/>
        <v>27871700</v>
      </c>
      <c r="P18" s="1">
        <f t="shared" si="2"/>
        <v>19269245</v>
      </c>
      <c r="Q18" s="1">
        <f t="shared" si="2"/>
        <v>20725656</v>
      </c>
      <c r="R18" s="1">
        <f t="shared" si="2"/>
        <v>24231246</v>
      </c>
      <c r="S18" s="1">
        <f t="shared" si="2"/>
        <v>25339094</v>
      </c>
      <c r="T18" s="1">
        <f t="shared" si="2"/>
        <v>31207818</v>
      </c>
      <c r="U18" s="1">
        <f t="shared" si="2"/>
        <v>37060103</v>
      </c>
      <c r="V18" s="1">
        <f t="shared" si="2"/>
        <v>49899203</v>
      </c>
      <c r="W18" s="1">
        <f t="shared" si="2"/>
        <v>59905188</v>
      </c>
      <c r="X18" s="1">
        <f t="shared" si="2"/>
        <v>428026478</v>
      </c>
    </row>
    <row r="19" spans="1:24" s="7" customFormat="1" ht="5.25" customHeight="1">
      <c r="A19" s="18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s="7" customFormat="1">
      <c r="A20" s="18" t="s">
        <v>98</v>
      </c>
      <c r="B20" s="1">
        <v>26762711</v>
      </c>
      <c r="C20" s="1">
        <v>26762711</v>
      </c>
      <c r="D20" s="1">
        <v>26762711</v>
      </c>
      <c r="E20" s="1">
        <v>26762711</v>
      </c>
      <c r="F20" s="1">
        <v>26762711</v>
      </c>
      <c r="G20" s="1">
        <v>26762711</v>
      </c>
      <c r="H20" s="1">
        <v>26762711</v>
      </c>
      <c r="I20" s="1">
        <v>26762711</v>
      </c>
      <c r="J20" s="1">
        <v>26762711</v>
      </c>
      <c r="K20" s="1">
        <v>26762711</v>
      </c>
      <c r="L20" s="1">
        <v>26762711</v>
      </c>
      <c r="M20" s="1">
        <v>26762711</v>
      </c>
      <c r="N20" s="1">
        <v>26762711</v>
      </c>
      <c r="O20" s="1">
        <v>26762711</v>
      </c>
      <c r="P20" s="1">
        <v>26762711</v>
      </c>
      <c r="Q20" s="1">
        <v>26762711</v>
      </c>
      <c r="R20" s="1">
        <v>26762711</v>
      </c>
      <c r="S20" s="1">
        <v>26762711</v>
      </c>
      <c r="T20" s="1">
        <v>26762711</v>
      </c>
      <c r="U20" s="1">
        <v>26762711</v>
      </c>
      <c r="V20" s="1">
        <v>26762711</v>
      </c>
      <c r="W20" s="1">
        <v>26762711</v>
      </c>
      <c r="X20" s="1">
        <v>26762711</v>
      </c>
    </row>
    <row r="21" spans="1:24" s="7" customFormat="1" ht="3.75" customHeight="1">
      <c r="A21" s="18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s="7" customFormat="1">
      <c r="A22" s="52" t="s">
        <v>100</v>
      </c>
      <c r="B22" s="55">
        <f>SUM(B20)</f>
        <v>26762711</v>
      </c>
      <c r="C22" s="55">
        <f>SUM(C18+C20)</f>
        <v>26762711</v>
      </c>
      <c r="D22" s="55">
        <f t="shared" ref="D22:X22" si="3">SUM(D18+D20)</f>
        <v>26762711</v>
      </c>
      <c r="E22" s="55">
        <f t="shared" si="3"/>
        <v>32328890</v>
      </c>
      <c r="F22" s="55">
        <f t="shared" si="3"/>
        <v>36796637</v>
      </c>
      <c r="G22" s="55">
        <f t="shared" si="3"/>
        <v>39324204</v>
      </c>
      <c r="H22" s="55">
        <f t="shared" si="3"/>
        <v>41736492</v>
      </c>
      <c r="I22" s="55">
        <f t="shared" si="3"/>
        <v>44010927</v>
      </c>
      <c r="J22" s="55">
        <f t="shared" si="3"/>
        <v>44352111</v>
      </c>
      <c r="K22" s="55">
        <f t="shared" si="3"/>
        <v>43898851</v>
      </c>
      <c r="L22" s="55">
        <f t="shared" si="3"/>
        <v>41487233</v>
      </c>
      <c r="M22" s="55">
        <f t="shared" si="3"/>
        <v>44375211</v>
      </c>
      <c r="N22" s="55">
        <f t="shared" si="3"/>
        <v>44048311</v>
      </c>
      <c r="O22" s="55">
        <f t="shared" si="3"/>
        <v>54634411</v>
      </c>
      <c r="P22" s="55">
        <f t="shared" si="3"/>
        <v>46031956</v>
      </c>
      <c r="Q22" s="55">
        <f t="shared" si="3"/>
        <v>47488367</v>
      </c>
      <c r="R22" s="55">
        <f t="shared" si="3"/>
        <v>50993957</v>
      </c>
      <c r="S22" s="55">
        <f t="shared" si="3"/>
        <v>52101805</v>
      </c>
      <c r="T22" s="55">
        <f t="shared" si="3"/>
        <v>57970529</v>
      </c>
      <c r="U22" s="55">
        <f t="shared" si="3"/>
        <v>63822814</v>
      </c>
      <c r="V22" s="55">
        <f t="shared" si="3"/>
        <v>76661914</v>
      </c>
      <c r="W22" s="55">
        <f t="shared" si="3"/>
        <v>86667899</v>
      </c>
      <c r="X22" s="55">
        <f t="shared" si="3"/>
        <v>454789189</v>
      </c>
    </row>
    <row r="23" spans="1:24" s="7" customFormat="1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s="7" customFormat="1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s="7" customFormat="1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s="7" customFormat="1">
      <c r="A26" s="7" t="s">
        <v>59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31">
        <v>131062016</v>
      </c>
      <c r="O26" s="26"/>
      <c r="P26" s="44">
        <v>32269327</v>
      </c>
      <c r="Q26" s="44">
        <v>49849250</v>
      </c>
      <c r="R26" s="44">
        <v>119259201</v>
      </c>
      <c r="S26" s="44">
        <v>110141324</v>
      </c>
      <c r="T26" s="44">
        <v>156131194</v>
      </c>
      <c r="U26" s="44">
        <v>217888369</v>
      </c>
      <c r="V26" s="44">
        <v>313285942</v>
      </c>
      <c r="W26" s="44">
        <v>369625779</v>
      </c>
      <c r="X26" s="44">
        <v>61755322</v>
      </c>
    </row>
    <row r="27" spans="1:24" s="7" customFormat="1">
      <c r="A27" s="18" t="s">
        <v>97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>
        <f t="shared" ref="N27" si="4">SUM(N26)</f>
        <v>131062016</v>
      </c>
      <c r="O27" s="1">
        <f t="shared" ref="O27" si="5">SUM(O26)</f>
        <v>0</v>
      </c>
      <c r="P27" s="1">
        <f t="shared" ref="P27" si="6">SUM(P26)</f>
        <v>32269327</v>
      </c>
      <c r="Q27" s="1">
        <f t="shared" ref="Q27" si="7">SUM(Q26)</f>
        <v>49849250</v>
      </c>
      <c r="R27" s="1">
        <f t="shared" ref="R27" si="8">SUM(R26)</f>
        <v>119259201</v>
      </c>
      <c r="S27" s="1">
        <f t="shared" ref="S27" si="9">SUM(S26)</f>
        <v>110141324</v>
      </c>
      <c r="T27" s="1">
        <f t="shared" ref="T27" si="10">SUM(T26)</f>
        <v>156131194</v>
      </c>
      <c r="U27" s="1">
        <f t="shared" ref="U27" si="11">SUM(U26)</f>
        <v>217888369</v>
      </c>
      <c r="V27" s="1">
        <f t="shared" ref="V27" si="12">SUM(V26)</f>
        <v>313285942</v>
      </c>
      <c r="W27" s="1">
        <f t="shared" ref="W27" si="13">SUM(W26)</f>
        <v>369625779</v>
      </c>
      <c r="X27" s="1">
        <f t="shared" ref="X27" si="14">SUM(X26)</f>
        <v>61755322</v>
      </c>
    </row>
    <row r="28" spans="1:24" s="7" customFormat="1" ht="5.25" customHeight="1">
      <c r="A28" s="1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s="7" customFormat="1">
      <c r="A29" s="18" t="s">
        <v>98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>
        <v>131062016</v>
      </c>
      <c r="O29" s="1">
        <v>131062016</v>
      </c>
      <c r="P29" s="1">
        <v>131062016</v>
      </c>
      <c r="Q29" s="1">
        <v>131062016</v>
      </c>
      <c r="R29" s="1">
        <v>131062016</v>
      </c>
      <c r="S29" s="1">
        <v>131062016</v>
      </c>
      <c r="T29" s="1">
        <v>131062016</v>
      </c>
      <c r="U29" s="1">
        <v>131062016</v>
      </c>
      <c r="V29" s="1">
        <v>131062016</v>
      </c>
      <c r="W29" s="1">
        <v>131062016</v>
      </c>
      <c r="X29" s="1">
        <v>131062016</v>
      </c>
    </row>
    <row r="30" spans="1:24" s="7" customFormat="1" ht="3.75" customHeight="1">
      <c r="A30" s="1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s="7" customFormat="1">
      <c r="A31" s="52" t="s">
        <v>100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>
        <f>SUM(N29)</f>
        <v>131062016</v>
      </c>
      <c r="O31" s="55">
        <f t="shared" ref="O31:X31" si="15">SUM(O27+O29)</f>
        <v>131062016</v>
      </c>
      <c r="P31" s="55">
        <f t="shared" si="15"/>
        <v>163331343</v>
      </c>
      <c r="Q31" s="55">
        <f t="shared" si="15"/>
        <v>180911266</v>
      </c>
      <c r="R31" s="55">
        <f t="shared" si="15"/>
        <v>250321217</v>
      </c>
      <c r="S31" s="55">
        <f t="shared" si="15"/>
        <v>241203340</v>
      </c>
      <c r="T31" s="55">
        <f t="shared" si="15"/>
        <v>287193210</v>
      </c>
      <c r="U31" s="55">
        <f t="shared" si="15"/>
        <v>348950385</v>
      </c>
      <c r="V31" s="55">
        <f t="shared" si="15"/>
        <v>444347958</v>
      </c>
      <c r="W31" s="55">
        <f t="shared" si="15"/>
        <v>500687795</v>
      </c>
      <c r="X31" s="55">
        <f t="shared" si="15"/>
        <v>192817338</v>
      </c>
    </row>
    <row r="32" spans="1:24" s="7" customForma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s="7" customFormat="1">
      <c r="A33" s="7" t="s">
        <v>60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31">
        <v>58502050</v>
      </c>
      <c r="R33" s="26"/>
      <c r="S33" s="44">
        <v>4517219</v>
      </c>
      <c r="T33" s="44">
        <v>12206097</v>
      </c>
      <c r="U33" s="44">
        <v>29463936</v>
      </c>
      <c r="V33" s="44">
        <v>51011525</v>
      </c>
      <c r="W33" s="44">
        <v>68631849</v>
      </c>
      <c r="X33" s="44">
        <v>77004207</v>
      </c>
    </row>
    <row r="34" spans="1:24" s="7" customFormat="1">
      <c r="A34" s="18" t="s">
        <v>97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>
        <f t="shared" ref="Q34" si="16">SUM(Q33)</f>
        <v>58502050</v>
      </c>
      <c r="R34" s="1">
        <f t="shared" ref="R34" si="17">SUM(R33)</f>
        <v>0</v>
      </c>
      <c r="S34" s="1">
        <f t="shared" ref="S34" si="18">SUM(S33)</f>
        <v>4517219</v>
      </c>
      <c r="T34" s="1">
        <f t="shared" ref="T34" si="19">SUM(T33)</f>
        <v>12206097</v>
      </c>
      <c r="U34" s="1">
        <f t="shared" ref="U34" si="20">SUM(U33)</f>
        <v>29463936</v>
      </c>
      <c r="V34" s="1">
        <f t="shared" ref="V34" si="21">SUM(V33)</f>
        <v>51011525</v>
      </c>
      <c r="W34" s="1">
        <f t="shared" ref="W34" si="22">SUM(W33)</f>
        <v>68631849</v>
      </c>
      <c r="X34" s="1">
        <f t="shared" ref="X34" si="23">SUM(X33)</f>
        <v>77004207</v>
      </c>
    </row>
    <row r="35" spans="1:24" s="7" customFormat="1" ht="5.25" customHeight="1">
      <c r="A35" s="1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s="7" customFormat="1">
      <c r="A36" s="18" t="s">
        <v>98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>
        <v>58502050</v>
      </c>
      <c r="R36" s="1">
        <v>58502050</v>
      </c>
      <c r="S36" s="1">
        <v>58502050</v>
      </c>
      <c r="T36" s="1">
        <v>58502050</v>
      </c>
      <c r="U36" s="1">
        <v>58502050</v>
      </c>
      <c r="V36" s="1">
        <v>58502050</v>
      </c>
      <c r="W36" s="1">
        <v>58502050</v>
      </c>
      <c r="X36" s="1">
        <v>58502050</v>
      </c>
    </row>
    <row r="37" spans="1:24" s="7" customFormat="1" ht="3.75" customHeight="1">
      <c r="A37" s="1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s="7" customFormat="1">
      <c r="A38" s="52" t="s">
        <v>100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>
        <f>SUM(Q36)</f>
        <v>58502050</v>
      </c>
      <c r="R38" s="55">
        <f t="shared" ref="R38:X38" si="24">SUM(R34+R36)</f>
        <v>58502050</v>
      </c>
      <c r="S38" s="55">
        <f t="shared" si="24"/>
        <v>63019269</v>
      </c>
      <c r="T38" s="55">
        <f t="shared" si="24"/>
        <v>70708147</v>
      </c>
      <c r="U38" s="55">
        <f t="shared" si="24"/>
        <v>87965986</v>
      </c>
      <c r="V38" s="55">
        <f t="shared" si="24"/>
        <v>109513575</v>
      </c>
      <c r="W38" s="55">
        <f t="shared" si="24"/>
        <v>127133899</v>
      </c>
      <c r="X38" s="55">
        <f t="shared" si="24"/>
        <v>135506257</v>
      </c>
    </row>
    <row r="39" spans="1:24" s="7" customFormat="1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s="7" customFormat="1">
      <c r="B40" s="8"/>
      <c r="C40" s="8"/>
      <c r="D40" s="8"/>
      <c r="E40" s="8"/>
      <c r="F40" s="8"/>
      <c r="G40" s="32">
        <v>12031300</v>
      </c>
      <c r="H40" s="32">
        <v>2792700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ht="14.25" customHeight="1">
      <c r="A41" t="s">
        <v>62</v>
      </c>
      <c r="B41" s="2"/>
      <c r="C41" s="31">
        <v>2036924</v>
      </c>
      <c r="D41" s="26"/>
      <c r="E41" s="26"/>
      <c r="F41" s="41">
        <v>3261940</v>
      </c>
      <c r="G41" s="41">
        <v>4330739</v>
      </c>
      <c r="H41" s="41">
        <v>1073772</v>
      </c>
      <c r="I41" s="41">
        <v>1040916</v>
      </c>
      <c r="J41" s="41">
        <v>1082563</v>
      </c>
      <c r="K41" s="41">
        <v>1357146</v>
      </c>
      <c r="L41" s="41">
        <v>1415924</v>
      </c>
      <c r="M41" s="35">
        <v>1498300</v>
      </c>
      <c r="N41" s="35">
        <v>1626800</v>
      </c>
      <c r="O41" s="35">
        <v>467800</v>
      </c>
      <c r="P41" s="44">
        <v>1027895</v>
      </c>
      <c r="Q41" s="44">
        <v>1105284</v>
      </c>
      <c r="R41" s="44">
        <v>1117189</v>
      </c>
      <c r="S41" s="44">
        <v>826534</v>
      </c>
      <c r="T41" s="44">
        <v>6731409</v>
      </c>
      <c r="U41" s="44">
        <v>7673425</v>
      </c>
      <c r="V41" s="44">
        <v>8409485</v>
      </c>
      <c r="W41" s="44">
        <v>14358726</v>
      </c>
      <c r="X41" s="44">
        <v>15209804</v>
      </c>
    </row>
    <row r="42" spans="1:24" s="7" customFormat="1">
      <c r="A42" s="18" t="s">
        <v>97</v>
      </c>
      <c r="B42" s="1"/>
      <c r="C42" s="1">
        <f>SUM(C40:C41)</f>
        <v>2036924</v>
      </c>
      <c r="D42" s="1">
        <f t="shared" ref="D42:X42" si="25">SUM(D40:D41)</f>
        <v>0</v>
      </c>
      <c r="E42" s="1">
        <f t="shared" si="25"/>
        <v>0</v>
      </c>
      <c r="F42" s="1">
        <f t="shared" si="25"/>
        <v>3261940</v>
      </c>
      <c r="G42" s="1">
        <f t="shared" si="25"/>
        <v>16362039</v>
      </c>
      <c r="H42" s="1">
        <f t="shared" si="25"/>
        <v>3866472</v>
      </c>
      <c r="I42" s="1">
        <f t="shared" si="25"/>
        <v>1040916</v>
      </c>
      <c r="J42" s="1">
        <f t="shared" si="25"/>
        <v>1082563</v>
      </c>
      <c r="K42" s="1">
        <f t="shared" si="25"/>
        <v>1357146</v>
      </c>
      <c r="L42" s="1">
        <f t="shared" si="25"/>
        <v>1415924</v>
      </c>
      <c r="M42" s="1">
        <f t="shared" si="25"/>
        <v>1498300</v>
      </c>
      <c r="N42" s="1">
        <f t="shared" si="25"/>
        <v>1626800</v>
      </c>
      <c r="O42" s="1">
        <f t="shared" si="25"/>
        <v>467800</v>
      </c>
      <c r="P42" s="1">
        <f t="shared" si="25"/>
        <v>1027895</v>
      </c>
      <c r="Q42" s="1">
        <f t="shared" si="25"/>
        <v>1105284</v>
      </c>
      <c r="R42" s="1">
        <f t="shared" si="25"/>
        <v>1117189</v>
      </c>
      <c r="S42" s="1">
        <f t="shared" si="25"/>
        <v>826534</v>
      </c>
      <c r="T42" s="1">
        <f t="shared" si="25"/>
        <v>6731409</v>
      </c>
      <c r="U42" s="1">
        <f t="shared" si="25"/>
        <v>7673425</v>
      </c>
      <c r="V42" s="1">
        <f t="shared" si="25"/>
        <v>8409485</v>
      </c>
      <c r="W42" s="1">
        <f t="shared" si="25"/>
        <v>14358726</v>
      </c>
      <c r="X42" s="1">
        <f t="shared" si="25"/>
        <v>15209804</v>
      </c>
    </row>
    <row r="43" spans="1:24" s="7" customFormat="1" ht="5.25" customHeight="1">
      <c r="A43" s="1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s="7" customFormat="1">
      <c r="A44" s="18" t="s">
        <v>98</v>
      </c>
      <c r="B44" s="1"/>
      <c r="C44" s="1">
        <v>2036924</v>
      </c>
      <c r="D44" s="1">
        <v>2036924</v>
      </c>
      <c r="E44" s="1">
        <v>2036924</v>
      </c>
      <c r="F44" s="1">
        <v>2036924</v>
      </c>
      <c r="G44" s="1">
        <v>2036924</v>
      </c>
      <c r="H44" s="1">
        <v>2036924</v>
      </c>
      <c r="I44" s="1">
        <v>2036924</v>
      </c>
      <c r="J44" s="1">
        <v>2036924</v>
      </c>
      <c r="K44" s="1">
        <v>2036924</v>
      </c>
      <c r="L44" s="1">
        <v>2036924</v>
      </c>
      <c r="M44" s="1">
        <v>2036924</v>
      </c>
      <c r="N44" s="1">
        <v>2036924</v>
      </c>
      <c r="O44" s="1">
        <v>2036924</v>
      </c>
      <c r="P44" s="1">
        <v>2036924</v>
      </c>
      <c r="Q44" s="1">
        <v>2036924</v>
      </c>
      <c r="R44" s="1">
        <v>2036924</v>
      </c>
      <c r="S44" s="1">
        <v>2036924</v>
      </c>
      <c r="T44" s="1">
        <v>2036924</v>
      </c>
      <c r="U44" s="1">
        <v>2036924</v>
      </c>
      <c r="V44" s="1">
        <v>2036924</v>
      </c>
      <c r="W44" s="1">
        <v>2036924</v>
      </c>
      <c r="X44" s="1">
        <v>2036924</v>
      </c>
    </row>
    <row r="45" spans="1:24" s="7" customFormat="1" ht="3.75" customHeight="1">
      <c r="A45" s="1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s="7" customFormat="1">
      <c r="A46" s="52" t="s">
        <v>100</v>
      </c>
      <c r="B46" s="55"/>
      <c r="C46" s="55">
        <f>SUM(C44)</f>
        <v>2036924</v>
      </c>
      <c r="D46" s="55">
        <f t="shared" ref="D46:X46" si="26">SUM(D42+D44)</f>
        <v>2036924</v>
      </c>
      <c r="E46" s="55">
        <f t="shared" si="26"/>
        <v>2036924</v>
      </c>
      <c r="F46" s="55">
        <f t="shared" si="26"/>
        <v>5298864</v>
      </c>
      <c r="G46" s="55">
        <f t="shared" si="26"/>
        <v>18398963</v>
      </c>
      <c r="H46" s="55">
        <f t="shared" si="26"/>
        <v>5903396</v>
      </c>
      <c r="I46" s="55">
        <f t="shared" si="26"/>
        <v>3077840</v>
      </c>
      <c r="J46" s="55">
        <f t="shared" si="26"/>
        <v>3119487</v>
      </c>
      <c r="K46" s="55">
        <f t="shared" si="26"/>
        <v>3394070</v>
      </c>
      <c r="L46" s="55">
        <f t="shared" si="26"/>
        <v>3452848</v>
      </c>
      <c r="M46" s="55">
        <f t="shared" si="26"/>
        <v>3535224</v>
      </c>
      <c r="N46" s="55">
        <f t="shared" si="26"/>
        <v>3663724</v>
      </c>
      <c r="O46" s="55">
        <f t="shared" si="26"/>
        <v>2504724</v>
      </c>
      <c r="P46" s="55">
        <f t="shared" si="26"/>
        <v>3064819</v>
      </c>
      <c r="Q46" s="55">
        <f t="shared" si="26"/>
        <v>3142208</v>
      </c>
      <c r="R46" s="55">
        <f t="shared" si="26"/>
        <v>3154113</v>
      </c>
      <c r="S46" s="55">
        <f t="shared" si="26"/>
        <v>2863458</v>
      </c>
      <c r="T46" s="55">
        <f t="shared" si="26"/>
        <v>8768333</v>
      </c>
      <c r="U46" s="55">
        <f t="shared" si="26"/>
        <v>9710349</v>
      </c>
      <c r="V46" s="55">
        <f t="shared" si="26"/>
        <v>10446409</v>
      </c>
      <c r="W46" s="55">
        <f t="shared" si="26"/>
        <v>16395650</v>
      </c>
      <c r="X46" s="55">
        <f t="shared" si="26"/>
        <v>17246728</v>
      </c>
    </row>
    <row r="47" spans="1:24" ht="14.25" customHeight="1"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>
      <c r="A48" t="s">
        <v>61</v>
      </c>
      <c r="B48" s="2"/>
      <c r="C48" s="2"/>
      <c r="D48" s="2"/>
      <c r="E48" s="31">
        <v>7531642</v>
      </c>
      <c r="F48" s="41">
        <v>5441271</v>
      </c>
      <c r="G48" s="41">
        <v>9005517</v>
      </c>
      <c r="H48" s="41">
        <v>9472888</v>
      </c>
      <c r="I48" s="41">
        <v>12170116</v>
      </c>
      <c r="J48" s="41">
        <v>11874965</v>
      </c>
      <c r="K48" s="41">
        <v>10517930</v>
      </c>
      <c r="L48" s="41">
        <v>8993291</v>
      </c>
      <c r="M48" s="35">
        <v>9412400</v>
      </c>
      <c r="N48" s="35">
        <v>9966900</v>
      </c>
      <c r="O48" s="35">
        <v>11172700</v>
      </c>
      <c r="P48" s="44">
        <v>12398216</v>
      </c>
      <c r="Q48" s="44">
        <v>8071456</v>
      </c>
      <c r="R48" s="44">
        <v>8211489</v>
      </c>
      <c r="S48" s="44">
        <v>8736563</v>
      </c>
      <c r="T48" s="44">
        <v>9152483</v>
      </c>
      <c r="U48" s="44">
        <v>17450233</v>
      </c>
      <c r="V48" s="44">
        <v>27997593</v>
      </c>
      <c r="W48" s="44">
        <v>61386859</v>
      </c>
      <c r="X48" s="44">
        <v>66926911</v>
      </c>
    </row>
    <row r="49" spans="1:24" s="7" customFormat="1">
      <c r="A49" s="18" t="s">
        <v>97</v>
      </c>
      <c r="B49" s="1"/>
      <c r="C49" s="1"/>
      <c r="D49" s="1"/>
      <c r="E49" s="1">
        <f t="shared" ref="E49" si="27">SUM(E47:E48)</f>
        <v>7531642</v>
      </c>
      <c r="F49" s="1">
        <f t="shared" ref="F49" si="28">SUM(F47:F48)</f>
        <v>5441271</v>
      </c>
      <c r="G49" s="1">
        <f t="shared" ref="G49" si="29">SUM(G47:G48)</f>
        <v>9005517</v>
      </c>
      <c r="H49" s="1">
        <f t="shared" ref="H49" si="30">SUM(H47:H48)</f>
        <v>9472888</v>
      </c>
      <c r="I49" s="1">
        <f t="shared" ref="I49" si="31">SUM(I47:I48)</f>
        <v>12170116</v>
      </c>
      <c r="J49" s="1">
        <f t="shared" ref="J49" si="32">SUM(J47:J48)</f>
        <v>11874965</v>
      </c>
      <c r="K49" s="1">
        <f t="shared" ref="K49" si="33">SUM(K47:K48)</f>
        <v>10517930</v>
      </c>
      <c r="L49" s="1">
        <f t="shared" ref="L49" si="34">SUM(L47:L48)</f>
        <v>8993291</v>
      </c>
      <c r="M49" s="1">
        <f t="shared" ref="M49" si="35">SUM(M47:M48)</f>
        <v>9412400</v>
      </c>
      <c r="N49" s="1">
        <f t="shared" ref="N49" si="36">SUM(N47:N48)</f>
        <v>9966900</v>
      </c>
      <c r="O49" s="1">
        <f t="shared" ref="O49" si="37">SUM(O47:O48)</f>
        <v>11172700</v>
      </c>
      <c r="P49" s="1">
        <f t="shared" ref="P49" si="38">SUM(P47:P48)</f>
        <v>12398216</v>
      </c>
      <c r="Q49" s="1">
        <f t="shared" ref="Q49" si="39">SUM(Q47:Q48)</f>
        <v>8071456</v>
      </c>
      <c r="R49" s="1">
        <f t="shared" ref="R49" si="40">SUM(R47:R48)</f>
        <v>8211489</v>
      </c>
      <c r="S49" s="1">
        <f t="shared" ref="S49" si="41">SUM(S47:S48)</f>
        <v>8736563</v>
      </c>
      <c r="T49" s="1">
        <f t="shared" ref="T49" si="42">SUM(T47:T48)</f>
        <v>9152483</v>
      </c>
      <c r="U49" s="1">
        <f t="shared" ref="U49" si="43">SUM(U47:U48)</f>
        <v>17450233</v>
      </c>
      <c r="V49" s="1">
        <f t="shared" ref="V49" si="44">SUM(V47:V48)</f>
        <v>27997593</v>
      </c>
      <c r="W49" s="1">
        <f t="shared" ref="W49" si="45">SUM(W47:W48)</f>
        <v>61386859</v>
      </c>
      <c r="X49" s="1">
        <f t="shared" ref="X49" si="46">SUM(X47:X48)</f>
        <v>66926911</v>
      </c>
    </row>
    <row r="50" spans="1:24" s="7" customFormat="1" ht="5.25" customHeight="1">
      <c r="A50" s="1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s="7" customFormat="1">
      <c r="A51" s="18" t="s">
        <v>98</v>
      </c>
      <c r="B51" s="1"/>
      <c r="C51" s="1"/>
      <c r="D51" s="1"/>
      <c r="E51" s="1">
        <v>7531642</v>
      </c>
      <c r="F51" s="1">
        <v>7531642</v>
      </c>
      <c r="G51" s="1">
        <v>7531642</v>
      </c>
      <c r="H51" s="1">
        <v>7531642</v>
      </c>
      <c r="I51" s="1">
        <v>7531642</v>
      </c>
      <c r="J51" s="1">
        <v>7531642</v>
      </c>
      <c r="K51" s="1">
        <v>7531642</v>
      </c>
      <c r="L51" s="1">
        <v>7531642</v>
      </c>
      <c r="M51" s="1">
        <v>7531642</v>
      </c>
      <c r="N51" s="1">
        <v>7531642</v>
      </c>
      <c r="O51" s="1">
        <v>7531642</v>
      </c>
      <c r="P51" s="1">
        <v>7531642</v>
      </c>
      <c r="Q51" s="1">
        <v>7531642</v>
      </c>
      <c r="R51" s="1">
        <v>7531642</v>
      </c>
      <c r="S51" s="1">
        <v>7531642</v>
      </c>
      <c r="T51" s="1">
        <v>7531642</v>
      </c>
      <c r="U51" s="1">
        <v>7531642</v>
      </c>
      <c r="V51" s="1">
        <v>7531642</v>
      </c>
      <c r="W51" s="1">
        <v>7531642</v>
      </c>
      <c r="X51" s="1">
        <v>7531642</v>
      </c>
    </row>
    <row r="52" spans="1:24" s="7" customFormat="1" ht="3.75" customHeight="1">
      <c r="A52" s="1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s="7" customFormat="1">
      <c r="A53" s="52" t="s">
        <v>100</v>
      </c>
      <c r="B53" s="55"/>
      <c r="C53" s="55"/>
      <c r="D53" s="55"/>
      <c r="E53" s="55">
        <v>7531642</v>
      </c>
      <c r="F53" s="55">
        <f t="shared" ref="F53:X53" si="47">SUM(F49+F51)</f>
        <v>12972913</v>
      </c>
      <c r="G53" s="55">
        <f t="shared" si="47"/>
        <v>16537159</v>
      </c>
      <c r="H53" s="55">
        <f t="shared" si="47"/>
        <v>17004530</v>
      </c>
      <c r="I53" s="55">
        <f t="shared" si="47"/>
        <v>19701758</v>
      </c>
      <c r="J53" s="55">
        <f t="shared" si="47"/>
        <v>19406607</v>
      </c>
      <c r="K53" s="55">
        <f t="shared" si="47"/>
        <v>18049572</v>
      </c>
      <c r="L53" s="55">
        <f t="shared" si="47"/>
        <v>16524933</v>
      </c>
      <c r="M53" s="55">
        <f t="shared" si="47"/>
        <v>16944042</v>
      </c>
      <c r="N53" s="55">
        <f t="shared" si="47"/>
        <v>17498542</v>
      </c>
      <c r="O53" s="55">
        <f t="shared" si="47"/>
        <v>18704342</v>
      </c>
      <c r="P53" s="55">
        <f t="shared" si="47"/>
        <v>19929858</v>
      </c>
      <c r="Q53" s="55">
        <f t="shared" si="47"/>
        <v>15603098</v>
      </c>
      <c r="R53" s="55">
        <f t="shared" si="47"/>
        <v>15743131</v>
      </c>
      <c r="S53" s="55">
        <f t="shared" si="47"/>
        <v>16268205</v>
      </c>
      <c r="T53" s="55">
        <f t="shared" si="47"/>
        <v>16684125</v>
      </c>
      <c r="U53" s="55">
        <f t="shared" si="47"/>
        <v>24981875</v>
      </c>
      <c r="V53" s="55">
        <f t="shared" si="47"/>
        <v>35529235</v>
      </c>
      <c r="W53" s="55">
        <f t="shared" si="47"/>
        <v>68918501</v>
      </c>
      <c r="X53" s="55">
        <f t="shared" si="47"/>
        <v>74458553</v>
      </c>
    </row>
    <row r="54" spans="1:24">
      <c r="B54" s="1"/>
      <c r="C54" s="1"/>
      <c r="D54" s="1"/>
      <c r="E54" s="8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>
      <c r="B55" s="1"/>
      <c r="C55" s="1"/>
      <c r="D55" s="1"/>
      <c r="E55" s="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>
      <c r="A56" t="s">
        <v>63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31">
        <v>122600224</v>
      </c>
      <c r="R56" s="26"/>
      <c r="S56" s="44">
        <v>24140260</v>
      </c>
      <c r="T56" s="44">
        <v>42406351</v>
      </c>
      <c r="U56" s="44">
        <v>70651899</v>
      </c>
      <c r="V56" s="44">
        <v>116477102</v>
      </c>
      <c r="W56" s="44">
        <v>161107575</v>
      </c>
      <c r="X56" s="44">
        <v>172480664</v>
      </c>
    </row>
    <row r="57" spans="1:24" s="7" customFormat="1">
      <c r="A57" s="18" t="s">
        <v>97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>
        <f t="shared" ref="Q57" si="48">SUM(Q55:Q56)</f>
        <v>122600224</v>
      </c>
      <c r="R57" s="1">
        <f t="shared" ref="R57" si="49">SUM(R55:R56)</f>
        <v>0</v>
      </c>
      <c r="S57" s="1">
        <f t="shared" ref="S57" si="50">SUM(S55:S56)</f>
        <v>24140260</v>
      </c>
      <c r="T57" s="1">
        <f t="shared" ref="T57" si="51">SUM(T55:T56)</f>
        <v>42406351</v>
      </c>
      <c r="U57" s="1">
        <f t="shared" ref="U57" si="52">SUM(U55:U56)</f>
        <v>70651899</v>
      </c>
      <c r="V57" s="1">
        <f t="shared" ref="V57" si="53">SUM(V55:V56)</f>
        <v>116477102</v>
      </c>
      <c r="W57" s="1">
        <f t="shared" ref="W57" si="54">SUM(W55:W56)</f>
        <v>161107575</v>
      </c>
      <c r="X57" s="1">
        <f t="shared" ref="X57" si="55">SUM(X55:X56)</f>
        <v>172480664</v>
      </c>
    </row>
    <row r="58" spans="1:24" s="7" customFormat="1" ht="5.25" customHeight="1">
      <c r="A58" s="18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s="7" customFormat="1">
      <c r="A59" s="18" t="s">
        <v>98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>
        <v>122600224</v>
      </c>
      <c r="R59" s="1">
        <v>7531642</v>
      </c>
      <c r="S59" s="1">
        <v>7531642</v>
      </c>
      <c r="T59" s="1">
        <v>7531642</v>
      </c>
      <c r="U59" s="1">
        <v>7531642</v>
      </c>
      <c r="V59" s="1">
        <v>7531642</v>
      </c>
      <c r="W59" s="1">
        <v>7531642</v>
      </c>
      <c r="X59" s="1">
        <v>7531642</v>
      </c>
    </row>
    <row r="60" spans="1:24" s="7" customFormat="1" ht="3.75" customHeight="1">
      <c r="A60" s="18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s="7" customFormat="1">
      <c r="A61" s="52" t="s">
        <v>100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>
        <v>122600224</v>
      </c>
      <c r="R61" s="55">
        <f t="shared" ref="R61:X61" si="56">SUM(R57+R59)</f>
        <v>7531642</v>
      </c>
      <c r="S61" s="55">
        <f t="shared" si="56"/>
        <v>31671902</v>
      </c>
      <c r="T61" s="55">
        <f t="shared" si="56"/>
        <v>49937993</v>
      </c>
      <c r="U61" s="55">
        <f t="shared" si="56"/>
        <v>78183541</v>
      </c>
      <c r="V61" s="55">
        <f t="shared" si="56"/>
        <v>124008744</v>
      </c>
      <c r="W61" s="55">
        <f t="shared" si="56"/>
        <v>168639217</v>
      </c>
      <c r="X61" s="55">
        <f t="shared" si="56"/>
        <v>180012306</v>
      </c>
    </row>
    <row r="62" spans="1:24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>
      <c r="A63" t="s">
        <v>64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8">
        <v>17463888</v>
      </c>
      <c r="V63" s="27"/>
      <c r="W63" s="49">
        <v>110874585</v>
      </c>
      <c r="X63" s="49">
        <v>108931288</v>
      </c>
    </row>
    <row r="64" spans="1:24">
      <c r="A64" t="s">
        <v>65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31">
        <v>70055373</v>
      </c>
      <c r="V64" s="26"/>
      <c r="W64" s="44">
        <v>121002305</v>
      </c>
      <c r="X64" s="44">
        <v>156579021</v>
      </c>
    </row>
    <row r="65" spans="1:24" s="7" customFormat="1">
      <c r="A65" s="18" t="s">
        <v>97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>
        <f>SUM(U63:U64)</f>
        <v>87519261</v>
      </c>
      <c r="V65" s="1">
        <f t="shared" ref="V65:X65" si="57">SUM(V63:V64)</f>
        <v>0</v>
      </c>
      <c r="W65" s="1">
        <f t="shared" si="57"/>
        <v>231876890</v>
      </c>
      <c r="X65" s="1">
        <f t="shared" si="57"/>
        <v>265510309</v>
      </c>
    </row>
    <row r="66" spans="1:24" s="7" customFormat="1" ht="5.25" customHeight="1">
      <c r="A66" s="18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s="7" customFormat="1">
      <c r="A67" s="18" t="s">
        <v>98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>
        <v>87519261</v>
      </c>
      <c r="V67" s="1">
        <v>87519261</v>
      </c>
      <c r="W67" s="1">
        <v>87519261</v>
      </c>
      <c r="X67" s="1">
        <v>87519261</v>
      </c>
    </row>
    <row r="68" spans="1:24" s="7" customFormat="1" ht="3.75" customHeight="1">
      <c r="A68" s="18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s="7" customFormat="1">
      <c r="A69" s="52" t="s">
        <v>100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>
        <v>87519261</v>
      </c>
      <c r="V69" s="55">
        <f t="shared" ref="V69:X69" si="58">SUM(V65+V67)</f>
        <v>87519261</v>
      </c>
      <c r="W69" s="55">
        <f t="shared" si="58"/>
        <v>319396151</v>
      </c>
      <c r="X69" s="55">
        <f t="shared" si="58"/>
        <v>353029570</v>
      </c>
    </row>
    <row r="71" spans="1:24" ht="15.75" thickBot="1"/>
    <row r="72" spans="1:24" s="3" customFormat="1" ht="15.75" thickBot="1">
      <c r="A72" s="59" t="s">
        <v>101</v>
      </c>
      <c r="B72" s="60">
        <f>SUM(B69+B61+B53+B46+B38+B31+B22+B13)</f>
        <v>104890828</v>
      </c>
      <c r="C72" s="60">
        <f t="shared" ref="C72:X72" si="59">SUM(C69+C61+C53+C46+C38+C31+C22+C13)</f>
        <v>136905152</v>
      </c>
      <c r="D72" s="60">
        <f t="shared" si="59"/>
        <v>142218852</v>
      </c>
      <c r="E72" s="60">
        <f t="shared" si="59"/>
        <v>154398146</v>
      </c>
      <c r="F72" s="60">
        <f t="shared" si="59"/>
        <v>183592948</v>
      </c>
      <c r="G72" s="60">
        <f t="shared" si="59"/>
        <v>221717375</v>
      </c>
      <c r="H72" s="60">
        <f t="shared" si="59"/>
        <v>237256142</v>
      </c>
      <c r="I72" s="60">
        <f t="shared" si="59"/>
        <v>252806065</v>
      </c>
      <c r="J72" s="60">
        <f t="shared" si="59"/>
        <v>248158068</v>
      </c>
      <c r="K72" s="60">
        <f t="shared" si="59"/>
        <v>249573733</v>
      </c>
      <c r="L72" s="60">
        <f t="shared" si="59"/>
        <v>235289756</v>
      </c>
      <c r="M72" s="60">
        <f t="shared" si="59"/>
        <v>278491194</v>
      </c>
      <c r="N72" s="60">
        <f t="shared" si="59"/>
        <v>399182010</v>
      </c>
      <c r="O72" s="60">
        <f t="shared" si="59"/>
        <v>412399510</v>
      </c>
      <c r="P72" s="60">
        <f t="shared" si="59"/>
        <v>414695149</v>
      </c>
      <c r="Q72" s="60">
        <f t="shared" si="59"/>
        <v>618738177</v>
      </c>
      <c r="R72" s="60">
        <f t="shared" si="59"/>
        <v>578181684</v>
      </c>
      <c r="S72" s="60">
        <f t="shared" si="59"/>
        <v>620354281</v>
      </c>
      <c r="T72" s="60">
        <f t="shared" si="59"/>
        <v>728460666</v>
      </c>
      <c r="U72" s="60">
        <f t="shared" si="59"/>
        <v>973574411</v>
      </c>
      <c r="V72" s="60">
        <f t="shared" si="59"/>
        <v>1208657645</v>
      </c>
      <c r="W72" s="60">
        <f t="shared" si="59"/>
        <v>1690751658</v>
      </c>
      <c r="X72" s="60">
        <f t="shared" si="59"/>
        <v>1847043094</v>
      </c>
    </row>
    <row r="75" spans="1:24">
      <c r="B75" s="30"/>
      <c r="C75" t="s">
        <v>102</v>
      </c>
    </row>
    <row r="77" spans="1:24">
      <c r="B77" s="34"/>
      <c r="C77" s="7" t="s">
        <v>33</v>
      </c>
    </row>
    <row r="79" spans="1:24">
      <c r="B79" s="42"/>
      <c r="C79" t="s">
        <v>103</v>
      </c>
    </row>
    <row r="81" spans="1:24">
      <c r="B81" s="46"/>
      <c r="C81" t="s">
        <v>104</v>
      </c>
    </row>
    <row r="84" spans="1:24">
      <c r="A84" s="64" t="s">
        <v>105</v>
      </c>
      <c r="O84" s="11"/>
      <c r="P84" s="11"/>
      <c r="Q84" s="11"/>
    </row>
    <row r="85" spans="1:24">
      <c r="B85" s="4" t="s">
        <v>2</v>
      </c>
      <c r="C85" s="4" t="s">
        <v>3</v>
      </c>
      <c r="D85" s="4" t="s">
        <v>4</v>
      </c>
      <c r="E85" s="4" t="s">
        <v>5</v>
      </c>
      <c r="F85" s="4" t="s">
        <v>6</v>
      </c>
      <c r="G85" s="4" t="s">
        <v>7</v>
      </c>
      <c r="H85" s="4" t="s">
        <v>8</v>
      </c>
      <c r="I85" s="4" t="s">
        <v>9</v>
      </c>
      <c r="J85" s="4" t="s">
        <v>10</v>
      </c>
      <c r="K85" s="4" t="s">
        <v>11</v>
      </c>
      <c r="L85" s="4" t="s">
        <v>12</v>
      </c>
      <c r="M85" s="4" t="s">
        <v>13</v>
      </c>
      <c r="N85" s="4" t="s">
        <v>14</v>
      </c>
      <c r="O85" s="4" t="s">
        <v>15</v>
      </c>
      <c r="P85" s="4" t="s">
        <v>16</v>
      </c>
      <c r="Q85" s="5" t="s">
        <v>17</v>
      </c>
      <c r="R85" s="6" t="s">
        <v>18</v>
      </c>
      <c r="S85" s="6" t="s">
        <v>19</v>
      </c>
      <c r="T85" s="6" t="s">
        <v>20</v>
      </c>
      <c r="U85" s="6" t="s">
        <v>21</v>
      </c>
      <c r="V85" s="6" t="s">
        <v>22</v>
      </c>
      <c r="W85" s="5" t="s">
        <v>24</v>
      </c>
      <c r="X85" s="6" t="s">
        <v>23</v>
      </c>
    </row>
    <row r="86" spans="1:24">
      <c r="B86" s="1">
        <f>SUM(B18+B9)</f>
        <v>104890828</v>
      </c>
      <c r="C86" s="1">
        <f>SUM(C42)</f>
        <v>2036924</v>
      </c>
      <c r="D86" s="1"/>
      <c r="E86" s="1">
        <f>SUM(E49)</f>
        <v>7531642</v>
      </c>
      <c r="L86" s="1"/>
      <c r="N86" s="1">
        <f>SUM(N27)</f>
        <v>131062016</v>
      </c>
      <c r="Q86" s="1">
        <f>SUM(Q57+Q34)</f>
        <v>181102274</v>
      </c>
      <c r="U86" s="1">
        <f>SUM(U65)</f>
        <v>87519261</v>
      </c>
    </row>
    <row r="188" spans="2:2">
      <c r="B188" s="11"/>
    </row>
  </sheetData>
  <pageMargins left="0.25" right="0.25" top="0.75" bottom="0.75" header="0.3" footer="0.3"/>
  <pageSetup paperSize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Summary</vt:lpstr>
      <vt:lpstr>BASE YEAR</vt:lpstr>
      <vt:lpstr>1-1986</vt:lpstr>
      <vt:lpstr>JVPA</vt:lpstr>
      <vt:lpstr>MCPA</vt:lpstr>
      <vt:lpstr>DCPA</vt:lpstr>
      <vt:lpstr>I-215</vt:lpstr>
      <vt:lpstr>Sheet2</vt:lpstr>
      <vt:lpstr>Sheet3</vt:lpstr>
      <vt:lpstr>'1-1986'!Print_Area</vt:lpstr>
      <vt:lpstr>DCPA!Print_Area</vt:lpstr>
      <vt:lpstr>'I-215'!Print_Area</vt:lpstr>
      <vt:lpstr>JVPA!Print_Area</vt:lpstr>
      <vt:lpstr>MCPA!Print_Area</vt:lpstr>
    </vt:vector>
  </TitlesOfParts>
  <Company>Riverside County EDA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Dasika, Rohini</dc:creator>
  <cp:lastModifiedBy>Dasika, Rohini</cp:lastModifiedBy>
  <cp:lastPrinted>2009-05-15T14:46:13Z</cp:lastPrinted>
  <dcterms:created xsi:type="dcterms:W3CDTF">2009-05-11T18:32:55Z</dcterms:created>
  <dcterms:modified xsi:type="dcterms:W3CDTF">2009-05-15T16:29:18Z</dcterms:modified>
</cp:coreProperties>
</file>